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平均Ｎ値の耐力" sheetId="1" r:id="rId1"/>
    <sheet name="径別Ｎ値の耐力" sheetId="2" r:id="rId2"/>
  </sheets>
  <definedNames>
    <definedName name="_xlnm.Print_Area" localSheetId="1">'径別Ｎ値の耐力'!$A$1:$L$80</definedName>
  </definedNames>
  <calcPr fullCalcOnLoad="1"/>
</workbook>
</file>

<file path=xl/sharedStrings.xml><?xml version="1.0" encoding="utf-8"?>
<sst xmlns="http://schemas.openxmlformats.org/spreadsheetml/2006/main" count="243" uniqueCount="129">
  <si>
    <t>　PHC杭（認定杭）の許容支持力の算定</t>
  </si>
  <si>
    <t>杭工法</t>
  </si>
  <si>
    <t>下記の杭耐力の計算は認定工法による耐力計算とします。</t>
  </si>
  <si>
    <t>下記の杭の許容支持力は地盤による支持力及び杭材から定まる支持力の最小値とする。</t>
  </si>
  <si>
    <t>資料</t>
  </si>
  <si>
    <t>杭先端Ｎ値直接入力する計算</t>
  </si>
  <si>
    <t xml:space="preserve"> 算定式</t>
  </si>
  <si>
    <t>認定工法の地盤から決まる支持力度式</t>
  </si>
  <si>
    <t>杭種別</t>
  </si>
  <si>
    <t xml:space="preserve">PHC杭 </t>
  </si>
  <si>
    <t>C</t>
  </si>
  <si>
    <t>種</t>
  </si>
  <si>
    <t>Ra=min(Ra1,Ra2)</t>
  </si>
  <si>
    <t>1:回転根固め杭</t>
  </si>
  <si>
    <t>Ra1=1/3｛nNAp+(Ns/5*Ls+qu/2*Lc)ψ｝</t>
  </si>
  <si>
    <t>Ra2=(fc-σe)A(1-α1-α2)</t>
  </si>
  <si>
    <t>杭先端平均Ｎ値</t>
  </si>
  <si>
    <t>直接入力</t>
  </si>
  <si>
    <t>砂質部平均Ns値</t>
  </si>
  <si>
    <t>表１より</t>
  </si>
  <si>
    <t>　　   杭長Ls</t>
  </si>
  <si>
    <t>(m)</t>
  </si>
  <si>
    <t xml:space="preserve"> (平均N値≦60 ,平均Ns/5≦10 ,平均qu/2≦10 )とする。</t>
  </si>
  <si>
    <t>粘土部平均qu値</t>
  </si>
  <si>
    <t>平均Ｎ値は下方に１Ｄ、上方へ４Ｄの平均とする。</t>
  </si>
  <si>
    <t>　　 　杭長Lc</t>
  </si>
  <si>
    <t xml:space="preserve"> 粘性土の摩擦耐力は一軸試験結果の値を採用する</t>
  </si>
  <si>
    <t>杭全長　　Ｌ</t>
  </si>
  <si>
    <t>m</t>
  </si>
  <si>
    <t>　(Ｎ値換算よりのquは qu=10*N/8(t/㎡）とする）</t>
  </si>
  <si>
    <t xml:space="preserve"> Ns値及びqu値は下記の計算結果値を採用する。</t>
  </si>
  <si>
    <t>杭径</t>
  </si>
  <si>
    <t>d(mm)</t>
  </si>
  <si>
    <t>杭断面積</t>
  </si>
  <si>
    <t>杭周長</t>
  </si>
  <si>
    <t>ψ(m)</t>
  </si>
  <si>
    <t>杭工法　　1:根固め工法　　</t>
  </si>
  <si>
    <t>杭先端支持力係数</t>
  </si>
  <si>
    <t>n</t>
  </si>
  <si>
    <t>先端支持耐力R1</t>
  </si>
  <si>
    <t>n/3NAp</t>
  </si>
  <si>
    <t>摩擦耐力  R2a</t>
  </si>
  <si>
    <t>1/3(Ns/5*Ls)ψ</t>
  </si>
  <si>
    <t>　　　　  R2b</t>
  </si>
  <si>
    <t>1/3(qu/2*Lc)ψ</t>
  </si>
  <si>
    <t>地盤の設計耐力</t>
  </si>
  <si>
    <t>Ra=R1+R2</t>
  </si>
  <si>
    <t>杭種</t>
  </si>
  <si>
    <t>杭材の最大耐力</t>
  </si>
  <si>
    <t xml:space="preserve">(fc-σe)A   </t>
  </si>
  <si>
    <t>長さ径比の低減率</t>
  </si>
  <si>
    <t>α1=(L/d-85)</t>
  </si>
  <si>
    <t>長さ径比の限界</t>
  </si>
  <si>
    <t>L/d&lt;110</t>
  </si>
  <si>
    <t>継ぎ手箇所</t>
  </si>
  <si>
    <t>nヶ所</t>
  </si>
  <si>
    <t>継手低減率</t>
  </si>
  <si>
    <t>α2</t>
  </si>
  <si>
    <t>地盤の許容耐力</t>
  </si>
  <si>
    <t>Ra1</t>
  </si>
  <si>
    <t>杭材の許容耐力</t>
  </si>
  <si>
    <t>Ra2</t>
  </si>
  <si>
    <t>設計杭耐力(t)　　重力単位</t>
  </si>
  <si>
    <t>設計杭耐力(ＫＮ) ＳＩ単位</t>
  </si>
  <si>
    <t>杭の周辺摩擦力の検討　１：検討有り　２：無し</t>
  </si>
  <si>
    <t>表－１</t>
  </si>
  <si>
    <t>砂質土地盤の平均Ns値及び粘性土地盤の平均qu値の計算</t>
  </si>
  <si>
    <t>(但しＮｓ・ｑｕの値はＮｓは２５以下　ｑｕの値は２０以下）</t>
  </si>
  <si>
    <t>ボーリング調査資料</t>
  </si>
  <si>
    <t>　GL以深の位置</t>
  </si>
  <si>
    <t>Ns</t>
  </si>
  <si>
    <t>Ls</t>
  </si>
  <si>
    <t>qu</t>
  </si>
  <si>
    <t>Lc</t>
  </si>
  <si>
    <t>(t/㎡)</t>
  </si>
  <si>
    <t>NO1</t>
  </si>
  <si>
    <t>NO2</t>
  </si>
  <si>
    <t>NO3</t>
  </si>
  <si>
    <t>NO4</t>
  </si>
  <si>
    <t>NO5</t>
  </si>
  <si>
    <t>NO6</t>
  </si>
  <si>
    <t>NO7</t>
  </si>
  <si>
    <t>NO8</t>
  </si>
  <si>
    <t>NO9</t>
  </si>
  <si>
    <t>NO10</t>
  </si>
  <si>
    <t>NO11</t>
  </si>
  <si>
    <t>NO12</t>
  </si>
  <si>
    <t>NO13</t>
  </si>
  <si>
    <t>NO14</t>
  </si>
  <si>
    <t>NO15</t>
  </si>
  <si>
    <t>合計(ΣNS*Ls・ΣLs　　Σqu*Lc・ΣLc）　</t>
  </si>
  <si>
    <t>平均(ΣNS*Ls/ΣLs・Σqu*Lc/ΣLc）　</t>
  </si>
  <si>
    <t>採用平均Ns・qu値及び摩擦長さLs・Lc</t>
  </si>
  <si>
    <t>採用Ｎ値　１：径別Ｎ値採用２：同一Ｎ値採用</t>
  </si>
  <si>
    <t>c</t>
  </si>
  <si>
    <t>平均Ｎ値の採用方法</t>
  </si>
  <si>
    <t>杭先端同一平均Ｎ値の時入力</t>
  </si>
  <si>
    <t>採用平均Ｎ値</t>
  </si>
  <si>
    <t>(n/3)NAp</t>
  </si>
  <si>
    <t>ＧＬ</t>
  </si>
  <si>
    <t>4D</t>
  </si>
  <si>
    <t>杭先端より１Ｄ</t>
  </si>
  <si>
    <t>下部１Ｄの長さLo(m)</t>
  </si>
  <si>
    <t>下部1Dの長さLo</t>
  </si>
  <si>
    <t>下部１Ｄの平均Ｎ値</t>
  </si>
  <si>
    <t>下部1DのN値</t>
  </si>
  <si>
    <t>上部4Dの全長さL(m)</t>
  </si>
  <si>
    <t>上部4Dの全長さΣL</t>
  </si>
  <si>
    <t>Ｎ値別の杭長さＬｉ</t>
  </si>
  <si>
    <t>上部4Dの長さL1</t>
  </si>
  <si>
    <t>ΣL=L1+L2+L3+L4+L5</t>
  </si>
  <si>
    <t>上部4Dの長さL2</t>
  </si>
  <si>
    <t>上部4Dの長さL3</t>
  </si>
  <si>
    <t>上部4Dの長さL4</t>
  </si>
  <si>
    <t>上部4Dの長さL5</t>
  </si>
  <si>
    <t>長さLｉ別のＮ値入力</t>
  </si>
  <si>
    <t>長さL1のＮ1値</t>
  </si>
  <si>
    <t>長さL1のＮ2値</t>
  </si>
  <si>
    <t>長さL1のＮ3値</t>
  </si>
  <si>
    <t>長さL1のＮ4値</t>
  </si>
  <si>
    <t>長さL1のＮ5値</t>
  </si>
  <si>
    <t>5Dの平均Ｎの計算</t>
  </si>
  <si>
    <t>Σ(NiLi1)/(L+Lo)</t>
  </si>
  <si>
    <t>（maxN≦60とする）</t>
  </si>
  <si>
    <r>
      <t>(t/m</t>
    </r>
    <r>
      <rPr>
        <vertAlign val="superscript"/>
        <sz val="12"/>
        <rFont val="ＭＳ ゴシック"/>
        <family val="3"/>
      </rPr>
      <t>2</t>
    </r>
    <r>
      <rPr>
        <sz val="12"/>
        <rFont val="ＭＳ ゴシック"/>
        <family val="3"/>
      </rPr>
      <t>)</t>
    </r>
  </si>
  <si>
    <r>
      <t>σe：Ａ種40kg/cm</t>
    </r>
    <r>
      <rPr>
        <vertAlign val="superscript"/>
        <sz val="12"/>
        <rFont val="ＭＳ ゴシック"/>
        <family val="3"/>
      </rPr>
      <t>2</t>
    </r>
    <r>
      <rPr>
        <sz val="12"/>
        <rFont val="ＭＳ ゴシック"/>
        <family val="3"/>
      </rPr>
      <t xml:space="preserve"> Ｂ種80kg/cm</t>
    </r>
    <r>
      <rPr>
        <vertAlign val="superscript"/>
        <sz val="12"/>
        <rFont val="ＭＳ ゴシック"/>
        <family val="3"/>
      </rPr>
      <t>2</t>
    </r>
    <r>
      <rPr>
        <sz val="12"/>
        <rFont val="ＭＳ ゴシック"/>
        <family val="3"/>
      </rPr>
      <t>Ｃ種100kg/cm</t>
    </r>
    <r>
      <rPr>
        <vertAlign val="superscript"/>
        <sz val="12"/>
        <rFont val="ＭＳ ゴシック"/>
        <family val="3"/>
      </rPr>
      <t>2</t>
    </r>
  </si>
  <si>
    <r>
      <t>Lfc:Ａ種200kg/cm</t>
    </r>
    <r>
      <rPr>
        <vertAlign val="superscript"/>
        <sz val="12"/>
        <rFont val="ＭＳ ゴシック"/>
        <family val="3"/>
      </rPr>
      <t>2</t>
    </r>
    <r>
      <rPr>
        <sz val="12"/>
        <rFont val="ＭＳ ゴシック"/>
        <family val="3"/>
      </rPr>
      <t>Ｂ種240kg/cm</t>
    </r>
    <r>
      <rPr>
        <vertAlign val="superscript"/>
        <sz val="12"/>
        <rFont val="ＭＳ ゴシック"/>
        <family val="3"/>
      </rPr>
      <t>2</t>
    </r>
    <r>
      <rPr>
        <sz val="12"/>
        <rFont val="ＭＳ ゴシック"/>
        <family val="3"/>
      </rPr>
      <t>Ｃ種240kg/cm</t>
    </r>
    <r>
      <rPr>
        <vertAlign val="superscript"/>
        <sz val="12"/>
        <rFont val="ＭＳ ゴシック"/>
        <family val="3"/>
      </rPr>
      <t>2</t>
    </r>
  </si>
  <si>
    <r>
      <t>Ａ(cm</t>
    </r>
    <r>
      <rPr>
        <vertAlign val="superscript"/>
        <sz val="12"/>
        <rFont val="ＭＳ ゴシック"/>
        <family val="3"/>
      </rPr>
      <t>2</t>
    </r>
    <r>
      <rPr>
        <sz val="12"/>
        <rFont val="ＭＳ ゴシック"/>
        <family val="3"/>
      </rPr>
      <t>)</t>
    </r>
  </si>
  <si>
    <r>
      <t>Ap(m</t>
    </r>
    <r>
      <rPr>
        <vertAlign val="superscript"/>
        <sz val="12"/>
        <rFont val="ＭＳ ゴシック"/>
        <family val="3"/>
      </rPr>
      <t>2</t>
    </r>
    <r>
      <rPr>
        <sz val="12"/>
        <rFont val="ＭＳ ゴシック"/>
        <family val="3"/>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</si>
</sst>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2"/>
      <name val="ＭＳ Ｐゴシック"/>
      <family val="3"/>
    </font>
    <font>
      <b/>
      <sz val="10"/>
      <name val="Arial"/>
      <family val="2"/>
    </font>
    <font>
      <i/>
      <sz val="10"/>
      <name val="Arial"/>
      <family val="2"/>
    </font>
    <font>
      <b/>
      <i/>
      <sz val="10"/>
      <name val="Arial"/>
      <family val="2"/>
    </font>
    <font>
      <sz val="12"/>
      <name val="ＭＳ 明朝"/>
      <family val="1"/>
    </font>
    <font>
      <sz val="6"/>
      <name val="ＭＳ Ｐゴシック"/>
      <family val="3"/>
    </font>
    <font>
      <b/>
      <sz val="12"/>
      <name val="ＭＳ ゴシック"/>
      <family val="3"/>
    </font>
    <font>
      <sz val="12"/>
      <name val="ＭＳ ゴシック"/>
      <family val="3"/>
    </font>
    <font>
      <b/>
      <sz val="12"/>
      <color indexed="8"/>
      <name val="ＭＳ ゴシック"/>
      <family val="3"/>
    </font>
    <font>
      <sz val="12"/>
      <color indexed="8"/>
      <name val="ＭＳ ゴシック"/>
      <family val="3"/>
    </font>
    <font>
      <vertAlign val="superscrip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ck">
        <color indexed="8"/>
      </top>
      <bottom>
        <color indexed="63"/>
      </bottom>
    </border>
    <border>
      <left style="thick">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ck">
        <color indexed="8"/>
      </bottom>
    </border>
    <border>
      <left style="thin">
        <color indexed="8"/>
      </left>
      <right style="thick">
        <color indexed="8"/>
      </right>
      <top style="medium">
        <color indexed="8"/>
      </top>
      <bottom style="thick">
        <color indexed="8"/>
      </bottom>
    </border>
    <border>
      <left style="thick">
        <color indexed="8"/>
      </left>
      <right>
        <color indexed="63"/>
      </right>
      <top style="medium"/>
      <bottom>
        <color indexed="63"/>
      </bottom>
    </border>
    <border>
      <left>
        <color indexed="63"/>
      </left>
      <right>
        <color indexed="63"/>
      </right>
      <top style="medium"/>
      <bottom>
        <color indexed="63"/>
      </bottom>
    </border>
    <border>
      <left style="thin">
        <color indexed="8"/>
      </left>
      <right>
        <color indexed="63"/>
      </right>
      <top style="medium"/>
      <bottom>
        <color indexed="63"/>
      </bottom>
    </border>
    <border>
      <left style="medium">
        <color indexed="8"/>
      </left>
      <right>
        <color indexed="63"/>
      </right>
      <top style="medium"/>
      <bottom>
        <color indexed="63"/>
      </bottom>
    </border>
    <border>
      <left style="medium">
        <color indexed="8"/>
      </left>
      <right>
        <color indexed="63"/>
      </right>
      <top style="thin">
        <color indexed="8"/>
      </top>
      <bottom>
        <color indexed="63"/>
      </bottom>
    </border>
    <border>
      <left style="medium">
        <color indexed="8"/>
      </left>
      <right>
        <color indexed="63"/>
      </right>
      <top style="thick">
        <color indexed="8"/>
      </top>
      <bottom>
        <color indexed="63"/>
      </bottom>
    </border>
    <border>
      <left style="medium">
        <color indexed="8"/>
      </left>
      <right>
        <color indexed="63"/>
      </right>
      <top style="medium">
        <color indexed="8"/>
      </top>
      <bottom>
        <color indexed="63"/>
      </bottom>
    </border>
    <border>
      <left style="medium">
        <color indexed="8"/>
      </left>
      <right style="thick">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thin">
        <color indexed="8"/>
      </right>
      <top style="thick">
        <color indexed="8"/>
      </top>
      <bottom>
        <color indexed="63"/>
      </bottom>
    </border>
    <border>
      <left style="thick">
        <color indexed="8"/>
      </left>
      <right style="thick">
        <color indexed="8"/>
      </right>
      <top style="medium">
        <color indexed="8"/>
      </top>
      <bottom>
        <color indexed="63"/>
      </bottom>
    </border>
    <border>
      <left style="thin">
        <color indexed="8"/>
      </left>
      <right style="thick">
        <color indexed="8"/>
      </right>
      <top style="medium">
        <color indexed="8"/>
      </top>
      <bottom>
        <color indexed="63"/>
      </bottom>
    </border>
    <border>
      <left style="medium">
        <color indexed="8"/>
      </left>
      <right>
        <color indexed="63"/>
      </right>
      <top style="medium">
        <color indexed="8"/>
      </top>
      <bottom style="thick">
        <color indexed="8"/>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ck">
        <color indexed="8"/>
      </bottom>
    </border>
    <border>
      <left style="thin">
        <color indexed="8"/>
      </left>
      <right style="thin">
        <color indexed="8"/>
      </right>
      <top style="medium">
        <color indexed="8"/>
      </top>
      <bottom>
        <color indexed="63"/>
      </bottom>
    </border>
    <border>
      <left>
        <color indexed="63"/>
      </left>
      <right style="thick">
        <color indexed="8"/>
      </right>
      <top style="medium">
        <color indexed="8"/>
      </top>
      <bottom>
        <color indexed="63"/>
      </bottom>
    </border>
    <border>
      <left style="thick">
        <color indexed="8"/>
      </left>
      <right>
        <color indexed="63"/>
      </right>
      <top style="thick">
        <color indexed="8"/>
      </top>
      <bottom style="medium">
        <color indexed="8"/>
      </bottom>
    </border>
    <border>
      <left style="thin">
        <color indexed="8"/>
      </left>
      <right>
        <color indexed="63"/>
      </right>
      <top style="thick">
        <color indexed="8"/>
      </top>
      <bottom style="medium">
        <color indexed="8"/>
      </bottom>
    </border>
    <border>
      <left style="medium">
        <color indexed="8"/>
      </left>
      <right>
        <color indexed="63"/>
      </right>
      <top>
        <color indexed="63"/>
      </top>
      <bottom style="thick">
        <color indexed="8"/>
      </bottom>
    </border>
    <border>
      <left style="medium">
        <color indexed="8"/>
      </left>
      <right style="thin">
        <color indexed="8"/>
      </right>
      <top style="thick">
        <color indexed="8"/>
      </top>
      <bottom style="medium">
        <color indexed="8"/>
      </bottom>
    </border>
    <border>
      <left style="thin">
        <color indexed="8"/>
      </left>
      <right style="thick">
        <color indexed="8"/>
      </right>
      <top style="thick">
        <color indexed="8"/>
      </top>
      <bottom style="medium">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6">
    <xf numFmtId="0" fontId="6" fillId="0" borderId="0" xfId="0" applyNumberFormat="1" applyFont="1" applyAlignment="1" applyProtection="1">
      <alignment/>
      <protection locked="0"/>
    </xf>
    <xf numFmtId="0" fontId="4" fillId="0" borderId="0" xfId="0" applyFont="1" applyAlignment="1">
      <alignment vertical="center"/>
    </xf>
    <xf numFmtId="0" fontId="0" fillId="0" borderId="0" xfId="0" applyNumberFormat="1" applyFont="1" applyAlignment="1" applyProtection="1">
      <alignment vertical="center"/>
      <protection locked="0"/>
    </xf>
    <xf numFmtId="0" fontId="6" fillId="0" borderId="10" xfId="0" applyFont="1" applyBorder="1" applyAlignment="1">
      <alignment vertical="center"/>
    </xf>
    <xf numFmtId="0" fontId="7" fillId="0" borderId="11" xfId="0" applyFont="1" applyBorder="1" applyAlignment="1">
      <alignment vertical="center"/>
    </xf>
    <xf numFmtId="0" fontId="0" fillId="0" borderId="11" xfId="0" applyBorder="1" applyAlignment="1">
      <alignment horizontal="center" vertical="center"/>
    </xf>
    <xf numFmtId="0" fontId="6" fillId="0" borderId="10" xfId="0" applyFont="1" applyBorder="1" applyAlignment="1">
      <alignment horizontal="center" vertical="center"/>
    </xf>
    <xf numFmtId="0" fontId="8" fillId="33" borderId="10" xfId="0" applyNumberFormat="1" applyFont="1" applyFill="1" applyBorder="1" applyAlignment="1">
      <alignment horizontal="centerContinuous" vertical="center"/>
    </xf>
    <xf numFmtId="0" fontId="9" fillId="33" borderId="11" xfId="0" applyNumberFormat="1" applyFont="1" applyFill="1" applyBorder="1" applyAlignment="1">
      <alignment horizontal="centerContinuous" vertical="center"/>
    </xf>
    <xf numFmtId="0" fontId="4" fillId="0" borderId="12"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6" fillId="0" borderId="0" xfId="0" applyFont="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horizontal="center" vertical="center"/>
    </xf>
    <xf numFmtId="0" fontId="9" fillId="33" borderId="15" xfId="0" applyFont="1" applyFill="1" applyBorder="1" applyAlignment="1">
      <alignment horizontal="center" vertical="center"/>
    </xf>
    <xf numFmtId="0" fontId="7" fillId="34" borderId="10" xfId="0" applyFont="1" applyFill="1" applyBorder="1" applyAlignment="1">
      <alignment vertical="center"/>
    </xf>
    <xf numFmtId="0" fontId="7" fillId="34" borderId="16" xfId="0" applyFont="1" applyFill="1" applyBorder="1" applyAlignment="1">
      <alignment vertical="center"/>
    </xf>
    <xf numFmtId="0" fontId="7" fillId="0" borderId="15" xfId="0" applyFont="1" applyBorder="1" applyAlignment="1">
      <alignment vertical="center"/>
    </xf>
    <xf numFmtId="0" fontId="7" fillId="34" borderId="15" xfId="0" applyFont="1" applyFill="1" applyBorder="1" applyAlignment="1">
      <alignment vertical="center"/>
    </xf>
    <xf numFmtId="0" fontId="7" fillId="0" borderId="15" xfId="0" applyFont="1" applyBorder="1" applyAlignment="1">
      <alignment horizontal="center" vertical="center"/>
    </xf>
    <xf numFmtId="2" fontId="7" fillId="0" borderId="15" xfId="0" applyNumberFormat="1" applyFont="1" applyBorder="1" applyAlignment="1">
      <alignment vertical="center"/>
    </xf>
    <xf numFmtId="176" fontId="7" fillId="0" borderId="15" xfId="0" applyNumberFormat="1" applyFont="1" applyBorder="1" applyAlignment="1">
      <alignment vertical="center"/>
    </xf>
    <xf numFmtId="0" fontId="7" fillId="33"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7" fillId="34" borderId="17" xfId="0" applyFont="1" applyFill="1" applyBorder="1" applyAlignment="1">
      <alignment vertical="center"/>
    </xf>
    <xf numFmtId="0" fontId="7" fillId="34" borderId="18" xfId="0" applyFont="1" applyFill="1" applyBorder="1" applyAlignment="1">
      <alignment vertical="center"/>
    </xf>
    <xf numFmtId="0" fontId="7" fillId="34" borderId="18" xfId="0" applyFont="1" applyFill="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horizontal="center" vertical="center"/>
    </xf>
    <xf numFmtId="0" fontId="9" fillId="34" borderId="18" xfId="0" applyFont="1" applyFill="1" applyBorder="1" applyAlignment="1">
      <alignment horizontal="center" vertical="center"/>
    </xf>
    <xf numFmtId="0" fontId="7" fillId="33" borderId="18" xfId="0" applyFont="1" applyFill="1" applyBorder="1" applyAlignment="1">
      <alignment vertical="center"/>
    </xf>
    <xf numFmtId="0" fontId="7" fillId="34" borderId="19" xfId="0" applyFont="1" applyFill="1" applyBorder="1" applyAlignment="1">
      <alignment vertical="center"/>
    </xf>
    <xf numFmtId="0" fontId="7" fillId="33" borderId="18"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0" xfId="0" applyFont="1" applyFill="1" applyBorder="1" applyAlignment="1">
      <alignment vertical="center"/>
    </xf>
    <xf numFmtId="0" fontId="7" fillId="34" borderId="21" xfId="0" applyFont="1" applyFill="1" applyBorder="1" applyAlignment="1">
      <alignment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vertical="center"/>
    </xf>
    <xf numFmtId="2" fontId="7" fillId="0" borderId="21" xfId="0" applyNumberFormat="1" applyFont="1" applyBorder="1" applyAlignment="1">
      <alignment vertical="center"/>
    </xf>
    <xf numFmtId="176" fontId="7" fillId="0" borderId="21" xfId="0" applyNumberFormat="1" applyFont="1" applyBorder="1" applyAlignment="1">
      <alignment vertical="center"/>
    </xf>
    <xf numFmtId="0" fontId="9" fillId="34" borderId="20" xfId="0" applyFont="1" applyFill="1" applyBorder="1" applyAlignment="1">
      <alignment horizontal="center" vertical="center"/>
    </xf>
    <xf numFmtId="0" fontId="7" fillId="33" borderId="20" xfId="0" applyFont="1" applyFill="1" applyBorder="1" applyAlignment="1">
      <alignment vertical="center"/>
    </xf>
    <xf numFmtId="0" fontId="7" fillId="33" borderId="20" xfId="0" applyFont="1" applyFill="1" applyBorder="1" applyAlignment="1">
      <alignment horizontal="center" vertical="center"/>
    </xf>
    <xf numFmtId="0" fontId="7" fillId="33" borderId="22" xfId="0" applyFont="1" applyFill="1" applyBorder="1" applyAlignment="1">
      <alignment horizontal="center" vertical="center"/>
    </xf>
    <xf numFmtId="0" fontId="4" fillId="0" borderId="0" xfId="0" applyFont="1" applyBorder="1" applyAlignment="1">
      <alignment vertical="center"/>
    </xf>
    <xf numFmtId="0" fontId="7" fillId="33" borderId="23" xfId="0" applyFont="1" applyFill="1"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2" fontId="7" fillId="0" borderId="26" xfId="0" applyNumberFormat="1" applyFont="1" applyBorder="1" applyAlignment="1">
      <alignment vertical="center"/>
    </xf>
    <xf numFmtId="2" fontId="7" fillId="0" borderId="25" xfId="0" applyNumberFormat="1" applyFont="1" applyBorder="1" applyAlignment="1">
      <alignment vertical="center"/>
    </xf>
    <xf numFmtId="0" fontId="0" fillId="0" borderId="0" xfId="0" applyNumberFormat="1" applyFont="1" applyBorder="1" applyAlignment="1" applyProtection="1">
      <alignment vertical="center"/>
      <protection locked="0"/>
    </xf>
    <xf numFmtId="0" fontId="7" fillId="0" borderId="27" xfId="0" applyFont="1" applyBorder="1" applyAlignment="1">
      <alignment vertical="center"/>
    </xf>
    <xf numFmtId="0" fontId="7" fillId="0" borderId="28" xfId="0" applyFont="1" applyBorder="1" applyAlignment="1">
      <alignment vertical="center"/>
    </xf>
    <xf numFmtId="0" fontId="7" fillId="0" borderId="27" xfId="0" applyFont="1" applyBorder="1" applyAlignment="1">
      <alignment horizontal="center" vertical="center"/>
    </xf>
    <xf numFmtId="2" fontId="9" fillId="34" borderId="27" xfId="0" applyNumberFormat="1" applyFont="1" applyFill="1" applyBorder="1" applyAlignment="1">
      <alignment vertical="center"/>
    </xf>
    <xf numFmtId="2" fontId="7" fillId="0" borderId="27" xfId="0" applyNumberFormat="1" applyFont="1" applyBorder="1" applyAlignment="1">
      <alignment vertical="center"/>
    </xf>
    <xf numFmtId="2" fontId="9" fillId="33" borderId="27" xfId="0" applyNumberFormat="1" applyFont="1" applyFill="1" applyBorder="1" applyAlignment="1">
      <alignment vertical="center"/>
    </xf>
    <xf numFmtId="0" fontId="7" fillId="0" borderId="28" xfId="0" applyFont="1" applyBorder="1" applyAlignment="1">
      <alignment horizontal="center" vertical="center"/>
    </xf>
    <xf numFmtId="0" fontId="9" fillId="33" borderId="29" xfId="0" applyFont="1" applyFill="1" applyBorder="1" applyAlignment="1">
      <alignment horizontal="center" vertical="center"/>
    </xf>
    <xf numFmtId="0" fontId="9" fillId="33" borderId="18" xfId="0" applyFont="1" applyFill="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22" xfId="0" applyFont="1" applyBorder="1" applyAlignment="1">
      <alignment horizontal="center" vertical="center"/>
    </xf>
    <xf numFmtId="0" fontId="7" fillId="0" borderId="30" xfId="0" applyFont="1" applyBorder="1" applyAlignment="1">
      <alignment horizontal="center" vertical="center"/>
    </xf>
    <xf numFmtId="0" fontId="7" fillId="35" borderId="30" xfId="0" applyFont="1" applyFill="1" applyBorder="1" applyAlignment="1">
      <alignment horizontal="center" vertical="center"/>
    </xf>
    <xf numFmtId="0" fontId="9" fillId="35" borderId="18" xfId="0" applyFont="1" applyFill="1" applyBorder="1" applyAlignment="1">
      <alignment horizontal="center" vertical="center"/>
    </xf>
    <xf numFmtId="0" fontId="7" fillId="35" borderId="33" xfId="0" applyFont="1" applyFill="1" applyBorder="1" applyAlignment="1">
      <alignment horizontal="center" vertical="center"/>
    </xf>
    <xf numFmtId="0" fontId="7" fillId="35" borderId="16" xfId="0" applyFont="1" applyFill="1" applyBorder="1" applyAlignment="1">
      <alignment horizontal="center" vertical="center"/>
    </xf>
    <xf numFmtId="0" fontId="9" fillId="35" borderId="20" xfId="0" applyFont="1" applyFill="1" applyBorder="1" applyAlignment="1">
      <alignment horizontal="center" vertical="center"/>
    </xf>
    <xf numFmtId="0" fontId="7" fillId="35" borderId="29" xfId="0" applyFont="1" applyFill="1" applyBorder="1" applyAlignment="1">
      <alignment horizontal="center" vertical="center"/>
    </xf>
    <xf numFmtId="2" fontId="9" fillId="35" borderId="27" xfId="0" applyNumberFormat="1" applyFont="1" applyFill="1" applyBorder="1" applyAlignment="1">
      <alignment vertical="center"/>
    </xf>
    <xf numFmtId="2" fontId="9" fillId="35" borderId="26" xfId="0" applyNumberFormat="1" applyFont="1" applyFill="1" applyBorder="1" applyAlignment="1">
      <alignment vertical="center"/>
    </xf>
    <xf numFmtId="2" fontId="9" fillId="35" borderId="28" xfId="0" applyNumberFormat="1" applyFont="1" applyFill="1" applyBorder="1" applyAlignment="1">
      <alignment vertical="center"/>
    </xf>
    <xf numFmtId="2" fontId="9" fillId="35" borderId="15" xfId="0" applyNumberFormat="1" applyFont="1" applyFill="1" applyBorder="1" applyAlignment="1">
      <alignment vertical="center"/>
    </xf>
    <xf numFmtId="0" fontId="7" fillId="33" borderId="15" xfId="0" applyFont="1" applyFill="1" applyBorder="1" applyAlignment="1">
      <alignment vertical="center"/>
    </xf>
    <xf numFmtId="0" fontId="4" fillId="0" borderId="11" xfId="0" applyFont="1" applyBorder="1" applyAlignment="1">
      <alignment vertical="center"/>
    </xf>
    <xf numFmtId="0" fontId="7" fillId="0" borderId="0" xfId="0" applyFont="1" applyAlignment="1">
      <alignment horizontal="right" vertical="center"/>
    </xf>
    <xf numFmtId="0" fontId="4" fillId="0" borderId="0" xfId="0" applyFont="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34" xfId="0" applyFont="1" applyBorder="1" applyAlignment="1">
      <alignment vertical="center"/>
    </xf>
    <xf numFmtId="0" fontId="0" fillId="0" borderId="18" xfId="0" applyFont="1" applyBorder="1" applyAlignment="1">
      <alignment vertical="center"/>
    </xf>
    <xf numFmtId="0" fontId="0" fillId="0" borderId="35" xfId="0" applyFont="1" applyBorder="1" applyAlignment="1">
      <alignment vertical="center"/>
    </xf>
    <xf numFmtId="2" fontId="0" fillId="0" borderId="18" xfId="0" applyNumberFormat="1" applyFont="1" applyBorder="1" applyAlignment="1">
      <alignment vertical="center"/>
    </xf>
    <xf numFmtId="2" fontId="0" fillId="0" borderId="35" xfId="0" applyNumberFormat="1" applyFont="1" applyBorder="1" applyAlignment="1">
      <alignment vertical="center"/>
    </xf>
    <xf numFmtId="0" fontId="7" fillId="34" borderId="29" xfId="0" applyFont="1" applyFill="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xf>
    <xf numFmtId="0" fontId="0" fillId="0" borderId="36" xfId="0" applyFont="1" applyBorder="1" applyAlignment="1">
      <alignment vertical="center"/>
    </xf>
    <xf numFmtId="2" fontId="0" fillId="0" borderId="30" xfId="0" applyNumberFormat="1" applyFont="1" applyBorder="1" applyAlignment="1">
      <alignment vertical="center"/>
    </xf>
    <xf numFmtId="0" fontId="7" fillId="0" borderId="32"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2" fontId="7" fillId="0" borderId="18" xfId="0" applyNumberFormat="1" applyFont="1" applyBorder="1" applyAlignment="1">
      <alignment vertical="center"/>
    </xf>
    <xf numFmtId="2" fontId="7" fillId="0" borderId="38" xfId="0" applyNumberFormat="1" applyFont="1" applyBorder="1" applyAlignment="1">
      <alignment vertical="center"/>
    </xf>
    <xf numFmtId="2" fontId="7" fillId="0" borderId="19" xfId="0" applyNumberFormat="1" applyFont="1" applyBorder="1" applyAlignment="1">
      <alignment vertical="center"/>
    </xf>
    <xf numFmtId="2" fontId="9" fillId="34" borderId="30" xfId="0" applyNumberFormat="1" applyFont="1" applyFill="1" applyBorder="1" applyAlignment="1">
      <alignment vertical="center"/>
    </xf>
    <xf numFmtId="2" fontId="9" fillId="34" borderId="39" xfId="0" applyNumberFormat="1" applyFont="1" applyFill="1" applyBorder="1" applyAlignment="1">
      <alignment vertical="center"/>
    </xf>
    <xf numFmtId="2" fontId="7" fillId="0" borderId="30" xfId="0" applyNumberFormat="1" applyFont="1" applyBorder="1" applyAlignment="1">
      <alignment vertical="center"/>
    </xf>
    <xf numFmtId="2" fontId="7" fillId="0" borderId="39" xfId="0" applyNumberFormat="1" applyFont="1" applyBorder="1" applyAlignment="1">
      <alignment vertical="center"/>
    </xf>
    <xf numFmtId="2" fontId="9" fillId="33" borderId="30" xfId="0" applyNumberFormat="1" applyFont="1" applyFill="1" applyBorder="1" applyAlignment="1">
      <alignment vertical="center"/>
    </xf>
    <xf numFmtId="2" fontId="9" fillId="33" borderId="39" xfId="0" applyNumberFormat="1" applyFont="1" applyFill="1" applyBorder="1" applyAlignment="1">
      <alignment vertical="center"/>
    </xf>
    <xf numFmtId="0" fontId="7" fillId="0" borderId="14" xfId="0" applyFont="1" applyBorder="1" applyAlignment="1">
      <alignment horizontal="center" vertical="center"/>
    </xf>
    <xf numFmtId="2" fontId="7" fillId="0" borderId="14" xfId="0" applyNumberFormat="1" applyFont="1" applyBorder="1" applyAlignment="1">
      <alignment vertical="center"/>
    </xf>
    <xf numFmtId="176" fontId="7" fillId="0" borderId="14" xfId="0" applyNumberFormat="1" applyFont="1" applyBorder="1" applyAlignment="1">
      <alignment vertical="center"/>
    </xf>
    <xf numFmtId="0" fontId="7" fillId="0" borderId="40" xfId="0" applyFont="1" applyBorder="1" applyAlignment="1">
      <alignment horizontal="center" vertical="center"/>
    </xf>
    <xf numFmtId="2" fontId="7" fillId="0" borderId="40" xfId="0" applyNumberFormat="1" applyFont="1" applyBorder="1" applyAlignment="1">
      <alignment vertical="center"/>
    </xf>
    <xf numFmtId="0" fontId="7" fillId="0" borderId="40" xfId="0" applyFont="1" applyBorder="1" applyAlignment="1">
      <alignment vertical="center"/>
    </xf>
    <xf numFmtId="176" fontId="7" fillId="0" borderId="40" xfId="0" applyNumberFormat="1" applyFont="1" applyBorder="1" applyAlignment="1">
      <alignment vertical="center"/>
    </xf>
    <xf numFmtId="0" fontId="7" fillId="33" borderId="4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43" xfId="0" applyFont="1" applyFill="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33" borderId="42" xfId="0" applyFont="1" applyFill="1" applyBorder="1" applyAlignment="1">
      <alignment vertical="center"/>
    </xf>
    <xf numFmtId="0" fontId="7" fillId="33" borderId="43" xfId="0" applyFont="1" applyFill="1" applyBorder="1" applyAlignment="1">
      <alignment vertical="center"/>
    </xf>
    <xf numFmtId="0" fontId="9" fillId="34" borderId="42" xfId="0" applyFont="1" applyFill="1" applyBorder="1" applyAlignment="1">
      <alignment horizontal="center" vertical="center"/>
    </xf>
    <xf numFmtId="0" fontId="9" fillId="34" borderId="43" xfId="0" applyFont="1" applyFill="1" applyBorder="1" applyAlignment="1">
      <alignment horizontal="center" vertical="center"/>
    </xf>
    <xf numFmtId="176" fontId="7" fillId="0" borderId="20" xfId="0" applyNumberFormat="1" applyFont="1" applyBorder="1" applyAlignment="1">
      <alignment vertical="center"/>
    </xf>
    <xf numFmtId="176" fontId="7" fillId="0" borderId="42" xfId="0" applyNumberFormat="1" applyFont="1" applyBorder="1" applyAlignment="1">
      <alignment vertical="center"/>
    </xf>
    <xf numFmtId="176" fontId="7" fillId="0" borderId="43" xfId="0" applyNumberFormat="1" applyFont="1" applyBorder="1" applyAlignment="1">
      <alignment vertical="center"/>
    </xf>
    <xf numFmtId="0" fontId="7" fillId="0" borderId="35" xfId="0" applyFont="1" applyBorder="1" applyAlignment="1">
      <alignment horizontal="center" vertical="center"/>
    </xf>
    <xf numFmtId="0" fontId="7" fillId="34" borderId="35" xfId="0" applyFont="1" applyFill="1" applyBorder="1" applyAlignment="1">
      <alignment vertical="center"/>
    </xf>
    <xf numFmtId="0" fontId="7" fillId="34" borderId="35" xfId="0" applyFont="1" applyFill="1" applyBorder="1" applyAlignment="1">
      <alignment horizontal="center" vertical="center"/>
    </xf>
    <xf numFmtId="0" fontId="7" fillId="34" borderId="44" xfId="0" applyFont="1" applyFill="1" applyBorder="1" applyAlignment="1">
      <alignment vertical="center"/>
    </xf>
    <xf numFmtId="0" fontId="7" fillId="34" borderId="45" xfId="0" applyFont="1" applyFill="1" applyBorder="1" applyAlignment="1">
      <alignment vertical="center"/>
    </xf>
    <xf numFmtId="0" fontId="7" fillId="0" borderId="46" xfId="0" applyFont="1" applyBorder="1" applyAlignment="1">
      <alignment vertical="center"/>
    </xf>
    <xf numFmtId="0" fontId="7" fillId="0" borderId="36" xfId="0" applyFont="1" applyBorder="1" applyAlignment="1">
      <alignment horizontal="center" vertical="center"/>
    </xf>
    <xf numFmtId="0" fontId="7" fillId="35" borderId="30" xfId="0" applyFont="1" applyFill="1" applyBorder="1" applyAlignment="1">
      <alignment vertical="center"/>
    </xf>
    <xf numFmtId="0" fontId="9" fillId="35" borderId="30" xfId="0" applyFont="1" applyFill="1" applyBorder="1" applyAlignment="1">
      <alignment horizontal="center" vertical="center"/>
    </xf>
    <xf numFmtId="0" fontId="7" fillId="35" borderId="47"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8"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42" xfId="0" applyFont="1" applyFill="1" applyBorder="1" applyAlignment="1">
      <alignment horizontal="center" vertical="center"/>
    </xf>
    <xf numFmtId="0" fontId="9" fillId="35" borderId="43" xfId="0" applyFont="1" applyFill="1" applyBorder="1" applyAlignment="1">
      <alignment horizontal="center" vertical="center"/>
    </xf>
    <xf numFmtId="2" fontId="9" fillId="35" borderId="30" xfId="0" applyNumberFormat="1" applyFont="1" applyFill="1" applyBorder="1" applyAlignment="1">
      <alignment vertical="center"/>
    </xf>
    <xf numFmtId="2" fontId="9" fillId="35" borderId="18" xfId="0" applyNumberFormat="1" applyFont="1" applyFill="1" applyBorder="1" applyAlignment="1">
      <alignment vertical="center"/>
    </xf>
    <xf numFmtId="0" fontId="0" fillId="35" borderId="28" xfId="0" applyFont="1" applyFill="1" applyBorder="1" applyAlignment="1">
      <alignment vertical="center"/>
    </xf>
    <xf numFmtId="0" fontId="0" fillId="35" borderId="15" xfId="0" applyFont="1" applyFill="1" applyBorder="1" applyAlignment="1">
      <alignment vertical="center"/>
    </xf>
    <xf numFmtId="2" fontId="0" fillId="35" borderId="30" xfId="0" applyNumberFormat="1" applyFont="1" applyFill="1" applyBorder="1" applyAlignment="1">
      <alignment vertical="center"/>
    </xf>
    <xf numFmtId="2" fontId="0" fillId="35" borderId="18" xfId="0" applyNumberFormat="1" applyFont="1" applyFill="1" applyBorder="1" applyAlignment="1">
      <alignment vertical="center"/>
    </xf>
    <xf numFmtId="2" fontId="0" fillId="35" borderId="35" xfId="0" applyNumberFormat="1" applyFont="1" applyFill="1" applyBorder="1" applyAlignment="1">
      <alignment vertical="center"/>
    </xf>
    <xf numFmtId="2" fontId="0" fillId="35" borderId="28" xfId="0" applyNumberFormat="1" applyFont="1" applyFill="1" applyBorder="1" applyAlignment="1">
      <alignment vertical="center"/>
    </xf>
    <xf numFmtId="2" fontId="0" fillId="35" borderId="15" xfId="0" applyNumberFormat="1" applyFont="1" applyFill="1" applyBorder="1" applyAlignment="1">
      <alignment vertical="center"/>
    </xf>
    <xf numFmtId="0" fontId="0" fillId="35" borderId="30" xfId="0" applyFont="1" applyFill="1" applyBorder="1" applyAlignment="1">
      <alignment vertical="center"/>
    </xf>
    <xf numFmtId="0" fontId="0" fillId="35" borderId="18" xfId="0" applyFont="1" applyFill="1" applyBorder="1" applyAlignment="1">
      <alignment vertical="center"/>
    </xf>
    <xf numFmtId="0" fontId="0" fillId="35" borderId="35" xfId="0" applyFont="1" applyFill="1" applyBorder="1" applyAlignment="1">
      <alignment vertical="center"/>
    </xf>
    <xf numFmtId="0" fontId="11" fillId="33" borderId="19" xfId="0" applyFont="1" applyFill="1" applyBorder="1" applyAlignment="1">
      <alignment vertical="center"/>
    </xf>
    <xf numFmtId="0" fontId="11" fillId="33" borderId="30" xfId="0" applyFont="1" applyFill="1" applyBorder="1" applyAlignment="1">
      <alignment vertical="center"/>
    </xf>
    <xf numFmtId="0" fontId="11" fillId="0" borderId="32" xfId="0" applyFont="1" applyBorder="1" applyAlignment="1">
      <alignment vertical="center"/>
    </xf>
    <xf numFmtId="0" fontId="11" fillId="0" borderId="21" xfId="0"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0</xdr:row>
      <xdr:rowOff>0</xdr:rowOff>
    </xdr:from>
    <xdr:to>
      <xdr:col>10</xdr:col>
      <xdr:colOff>28575</xdr:colOff>
      <xdr:row>0</xdr:row>
      <xdr:rowOff>1428750</xdr:rowOff>
    </xdr:to>
    <xdr:pic>
      <xdr:nvPicPr>
        <xdr:cNvPr id="1" name="図 1">
          <a:hlinkClick r:id="rId3"/>
        </xdr:cNvPr>
        <xdr:cNvPicPr preferRelativeResize="1">
          <a:picLocks noChangeAspect="1"/>
        </xdr:cNvPicPr>
      </xdr:nvPicPr>
      <xdr:blipFill>
        <a:blip r:embed="rId1"/>
        <a:stretch>
          <a:fillRect/>
        </a:stretch>
      </xdr:blipFill>
      <xdr:spPr>
        <a:xfrm>
          <a:off x="685800" y="0"/>
          <a:ext cx="747712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43</xdr:row>
      <xdr:rowOff>180975</xdr:rowOff>
    </xdr:from>
    <xdr:to>
      <xdr:col>10</xdr:col>
      <xdr:colOff>542925</xdr:colOff>
      <xdr:row>60</xdr:row>
      <xdr:rowOff>0</xdr:rowOff>
    </xdr:to>
    <xdr:grpSp>
      <xdr:nvGrpSpPr>
        <xdr:cNvPr id="1" name="Group 3"/>
        <xdr:cNvGrpSpPr>
          <a:grpSpLocks noChangeAspect="1"/>
        </xdr:cNvGrpSpPr>
      </xdr:nvGrpSpPr>
      <xdr:grpSpPr>
        <a:xfrm>
          <a:off x="7886700" y="9305925"/>
          <a:ext cx="971550" cy="3381375"/>
          <a:chOff x="828" y="978"/>
          <a:chExt cx="102" cy="354"/>
        </a:xfrm>
        <a:solidFill>
          <a:srgbClr val="FFFFFF"/>
        </a:solidFill>
      </xdr:grpSpPr>
      <xdr:sp>
        <xdr:nvSpPr>
          <xdr:cNvPr id="2" name="AutoShape 2"/>
          <xdr:cNvSpPr>
            <a:spLocks noChangeAspect="1"/>
          </xdr:cNvSpPr>
        </xdr:nvSpPr>
        <xdr:spPr>
          <a:xfrm>
            <a:off x="828" y="978"/>
            <a:ext cx="102" cy="354"/>
          </a:xfrm>
          <a:prstGeom prst="rect">
            <a:avLst/>
          </a:prstGeom>
          <a:noFill/>
          <a:ln w="9525" cmpd="sng">
            <a:noFill/>
          </a:ln>
        </xdr:spPr>
        <xdr:txBody>
          <a:bodyPr vertOverflow="clip" wrap="square"/>
          <a:p>
            <a:pPr algn="l">
              <a:defRPr/>
            </a:pPr>
            <a:r>
              <a:rPr lang="en-US" cap="none" u="none" baseline="0"/>
              <a:t/>
            </a:r>
          </a:p>
        </xdr:txBody>
      </xdr:sp>
      <xdr:sp>
        <xdr:nvSpPr>
          <xdr:cNvPr id="3" name="Line 4"/>
          <xdr:cNvSpPr>
            <a:spLocks/>
          </xdr:cNvSpPr>
        </xdr:nvSpPr>
        <xdr:spPr>
          <a:xfrm>
            <a:off x="849" y="1175"/>
            <a:ext cx="1"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4" name="Line 5"/>
          <xdr:cNvSpPr>
            <a:spLocks/>
          </xdr:cNvSpPr>
        </xdr:nvSpPr>
        <xdr:spPr>
          <a:xfrm>
            <a:off x="849" y="1193"/>
            <a:ext cx="1"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5" name="Line 6"/>
          <xdr:cNvSpPr>
            <a:spLocks/>
          </xdr:cNvSpPr>
        </xdr:nvSpPr>
        <xdr:spPr>
          <a:xfrm>
            <a:off x="849" y="1194"/>
            <a:ext cx="1"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 name="Line 7"/>
          <xdr:cNvSpPr>
            <a:spLocks/>
          </xdr:cNvSpPr>
        </xdr:nvSpPr>
        <xdr:spPr>
          <a:xfrm>
            <a:off x="829" y="979"/>
            <a:ext cx="90"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 name="Rectangle 8"/>
          <xdr:cNvSpPr>
            <a:spLocks/>
          </xdr:cNvSpPr>
        </xdr:nvSpPr>
        <xdr:spPr>
          <a:xfrm>
            <a:off x="866" y="980"/>
            <a:ext cx="17" cy="316"/>
          </a:xfrm>
          <a:prstGeom prst="rect">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8" name="Line 9"/>
          <xdr:cNvSpPr>
            <a:spLocks/>
          </xdr:cNvSpPr>
        </xdr:nvSpPr>
        <xdr:spPr>
          <a:xfrm>
            <a:off x="850" y="1264"/>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9" name="Line 10"/>
          <xdr:cNvSpPr>
            <a:spLocks/>
          </xdr:cNvSpPr>
        </xdr:nvSpPr>
        <xdr:spPr>
          <a:xfrm>
            <a:off x="848" y="1310"/>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0" name="Line 11"/>
          <xdr:cNvSpPr>
            <a:spLocks/>
          </xdr:cNvSpPr>
        </xdr:nvSpPr>
        <xdr:spPr>
          <a:xfrm>
            <a:off x="877" y="129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1" name="Line 12"/>
          <xdr:cNvSpPr>
            <a:spLocks/>
          </xdr:cNvSpPr>
        </xdr:nvSpPr>
        <xdr:spPr>
          <a:xfrm>
            <a:off x="921" y="1256"/>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2" name="Line 13"/>
          <xdr:cNvSpPr>
            <a:spLocks/>
          </xdr:cNvSpPr>
        </xdr:nvSpPr>
        <xdr:spPr>
          <a:xfrm flipH="1">
            <a:off x="887" y="1305"/>
            <a:ext cx="29" cy="26"/>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3" name="Freeform 14"/>
          <xdr:cNvSpPr>
            <a:spLocks/>
          </xdr:cNvSpPr>
        </xdr:nvSpPr>
        <xdr:spPr>
          <a:xfrm>
            <a:off x="917" y="1261"/>
            <a:ext cx="6" cy="7"/>
          </a:xfrm>
          <a:custGeom>
            <a:pathLst>
              <a:path h="7" w="6">
                <a:moveTo>
                  <a:pt x="0" y="2"/>
                </a:moveTo>
                <a:lnTo>
                  <a:pt x="0" y="2"/>
                </a:lnTo>
                <a:lnTo>
                  <a:pt x="0" y="1"/>
                </a:lnTo>
                <a:lnTo>
                  <a:pt x="0" y="0"/>
                </a:lnTo>
                <a:lnTo>
                  <a:pt x="2" y="0"/>
                </a:lnTo>
                <a:lnTo>
                  <a:pt x="3" y="0"/>
                </a:lnTo>
                <a:lnTo>
                  <a:pt x="4" y="0"/>
                </a:lnTo>
                <a:lnTo>
                  <a:pt x="5" y="0"/>
                </a:lnTo>
                <a:lnTo>
                  <a:pt x="5" y="1"/>
                </a:lnTo>
                <a:lnTo>
                  <a:pt x="5" y="2"/>
                </a:lnTo>
                <a:lnTo>
                  <a:pt x="6" y="2"/>
                </a:lnTo>
                <a:lnTo>
                  <a:pt x="6" y="3"/>
                </a:lnTo>
                <a:lnTo>
                  <a:pt x="5" y="3"/>
                </a:lnTo>
                <a:lnTo>
                  <a:pt x="5" y="4"/>
                </a:lnTo>
                <a:lnTo>
                  <a:pt x="5" y="6"/>
                </a:lnTo>
                <a:lnTo>
                  <a:pt x="4" y="6"/>
                </a:lnTo>
                <a:lnTo>
                  <a:pt x="3" y="6"/>
                </a:lnTo>
                <a:lnTo>
                  <a:pt x="3" y="7"/>
                </a:lnTo>
                <a:lnTo>
                  <a:pt x="3" y="6"/>
                </a:lnTo>
                <a:lnTo>
                  <a:pt x="2" y="6"/>
                </a:lnTo>
                <a:lnTo>
                  <a:pt x="0" y="6"/>
                </a:lnTo>
                <a:lnTo>
                  <a:pt x="0" y="4"/>
                </a:lnTo>
                <a:lnTo>
                  <a:pt x="0" y="3"/>
                </a:lnTo>
                <a:lnTo>
                  <a:pt x="0" y="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14" name="Freeform 15"/>
          <xdr:cNvSpPr>
            <a:spLocks/>
          </xdr:cNvSpPr>
        </xdr:nvSpPr>
        <xdr:spPr>
          <a:xfrm>
            <a:off x="916" y="1294"/>
            <a:ext cx="6" cy="7"/>
          </a:xfrm>
          <a:custGeom>
            <a:pathLst>
              <a:path h="7" w="6">
                <a:moveTo>
                  <a:pt x="0" y="2"/>
                </a:moveTo>
                <a:lnTo>
                  <a:pt x="0" y="2"/>
                </a:lnTo>
                <a:lnTo>
                  <a:pt x="0" y="1"/>
                </a:lnTo>
                <a:lnTo>
                  <a:pt x="0" y="0"/>
                </a:lnTo>
                <a:lnTo>
                  <a:pt x="1" y="0"/>
                </a:lnTo>
                <a:lnTo>
                  <a:pt x="3" y="0"/>
                </a:lnTo>
                <a:lnTo>
                  <a:pt x="4" y="0"/>
                </a:lnTo>
                <a:lnTo>
                  <a:pt x="5" y="0"/>
                </a:lnTo>
                <a:lnTo>
                  <a:pt x="5" y="1"/>
                </a:lnTo>
                <a:lnTo>
                  <a:pt x="5" y="2"/>
                </a:lnTo>
                <a:lnTo>
                  <a:pt x="6" y="2"/>
                </a:lnTo>
                <a:lnTo>
                  <a:pt x="6" y="3"/>
                </a:lnTo>
                <a:lnTo>
                  <a:pt x="5" y="3"/>
                </a:lnTo>
                <a:lnTo>
                  <a:pt x="5" y="4"/>
                </a:lnTo>
                <a:lnTo>
                  <a:pt x="5" y="5"/>
                </a:lnTo>
                <a:lnTo>
                  <a:pt x="4" y="5"/>
                </a:lnTo>
                <a:lnTo>
                  <a:pt x="3" y="5"/>
                </a:lnTo>
                <a:lnTo>
                  <a:pt x="3" y="7"/>
                </a:lnTo>
                <a:lnTo>
                  <a:pt x="3" y="5"/>
                </a:lnTo>
                <a:lnTo>
                  <a:pt x="1" y="5"/>
                </a:lnTo>
                <a:lnTo>
                  <a:pt x="0" y="5"/>
                </a:lnTo>
                <a:lnTo>
                  <a:pt x="0" y="4"/>
                </a:lnTo>
                <a:lnTo>
                  <a:pt x="0" y="3"/>
                </a:lnTo>
                <a:lnTo>
                  <a:pt x="0" y="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15" name="Freeform 16"/>
          <xdr:cNvSpPr>
            <a:spLocks/>
          </xdr:cNvSpPr>
        </xdr:nvSpPr>
        <xdr:spPr>
          <a:xfrm>
            <a:off x="916" y="1308"/>
            <a:ext cx="6" cy="7"/>
          </a:xfrm>
          <a:custGeom>
            <a:pathLst>
              <a:path h="7" w="6">
                <a:moveTo>
                  <a:pt x="0" y="2"/>
                </a:moveTo>
                <a:lnTo>
                  <a:pt x="0" y="2"/>
                </a:lnTo>
                <a:lnTo>
                  <a:pt x="0" y="1"/>
                </a:lnTo>
                <a:lnTo>
                  <a:pt x="0" y="0"/>
                </a:lnTo>
                <a:lnTo>
                  <a:pt x="1" y="0"/>
                </a:lnTo>
                <a:lnTo>
                  <a:pt x="3" y="0"/>
                </a:lnTo>
                <a:lnTo>
                  <a:pt x="4" y="0"/>
                </a:lnTo>
                <a:lnTo>
                  <a:pt x="5" y="0"/>
                </a:lnTo>
                <a:lnTo>
                  <a:pt x="5" y="1"/>
                </a:lnTo>
                <a:lnTo>
                  <a:pt x="5" y="2"/>
                </a:lnTo>
                <a:lnTo>
                  <a:pt x="6" y="2"/>
                </a:lnTo>
                <a:lnTo>
                  <a:pt x="6" y="4"/>
                </a:lnTo>
                <a:lnTo>
                  <a:pt x="5" y="4"/>
                </a:lnTo>
                <a:lnTo>
                  <a:pt x="5" y="5"/>
                </a:lnTo>
                <a:lnTo>
                  <a:pt x="5" y="6"/>
                </a:lnTo>
                <a:lnTo>
                  <a:pt x="4" y="6"/>
                </a:lnTo>
                <a:lnTo>
                  <a:pt x="3" y="6"/>
                </a:lnTo>
                <a:lnTo>
                  <a:pt x="3" y="7"/>
                </a:lnTo>
                <a:lnTo>
                  <a:pt x="3" y="6"/>
                </a:lnTo>
                <a:lnTo>
                  <a:pt x="1" y="6"/>
                </a:lnTo>
                <a:lnTo>
                  <a:pt x="0" y="6"/>
                </a:lnTo>
                <a:lnTo>
                  <a:pt x="0" y="5"/>
                </a:lnTo>
                <a:lnTo>
                  <a:pt x="0" y="4"/>
                </a:lnTo>
                <a:lnTo>
                  <a:pt x="0" y="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2"/>
  <sheetViews>
    <sheetView tabSelected="1" showOutlineSymbols="0" zoomScale="87" zoomScaleNormal="87" zoomScalePageLayoutView="0" workbookViewId="0" topLeftCell="A1">
      <selection activeCell="D9" sqref="D9"/>
    </sheetView>
  </sheetViews>
  <sheetFormatPr defaultColWidth="10.75390625" defaultRowHeight="15.75"/>
  <cols>
    <col min="1" max="1" width="16.75390625" style="2" customWidth="1"/>
    <col min="2" max="2" width="15.00390625" style="2" customWidth="1"/>
    <col min="3" max="11" width="9.375" style="2" customWidth="1"/>
    <col min="12" max="12" width="5.75390625" style="2" customWidth="1"/>
    <col min="13" max="16384" width="10.75390625" style="2" customWidth="1"/>
  </cols>
  <sheetData>
    <row r="1" spans="1:12" ht="153" customHeight="1">
      <c r="A1" s="1"/>
      <c r="B1" s="1"/>
      <c r="C1" s="1"/>
      <c r="D1" s="1"/>
      <c r="E1" s="1"/>
      <c r="F1" s="1"/>
      <c r="G1" s="1"/>
      <c r="H1" s="1"/>
      <c r="I1" s="1"/>
      <c r="J1" s="1"/>
      <c r="K1" s="1"/>
      <c r="L1" s="1"/>
    </row>
    <row r="2" spans="1:12" ht="27.75" customHeight="1">
      <c r="A2" s="3" t="s">
        <v>0</v>
      </c>
      <c r="B2" s="4"/>
      <c r="C2" s="5"/>
      <c r="D2" s="3"/>
      <c r="E2" s="4"/>
      <c r="F2" s="4"/>
      <c r="G2" s="6" t="s">
        <v>1</v>
      </c>
      <c r="H2" s="7" t="str">
        <f>IF(C21=1,"回転根固め杭工法の計算","")</f>
        <v>回転根固め杭工法の計算</v>
      </c>
      <c r="I2" s="8"/>
      <c r="J2" s="8"/>
      <c r="K2" s="8"/>
      <c r="L2" s="9"/>
    </row>
    <row r="3" spans="1:12" ht="16.5" customHeight="1">
      <c r="A3" s="4"/>
      <c r="B3" s="4" t="s">
        <v>2</v>
      </c>
      <c r="C3" s="4"/>
      <c r="D3" s="4"/>
      <c r="E3" s="4"/>
      <c r="F3" s="4"/>
      <c r="G3" s="4"/>
      <c r="H3" s="4"/>
      <c r="I3" s="4"/>
      <c r="J3" s="4"/>
      <c r="K3" s="4"/>
      <c r="L3" s="1"/>
    </row>
    <row r="4" spans="1:12" ht="16.5" customHeight="1">
      <c r="A4" s="10"/>
      <c r="B4" s="10" t="s">
        <v>3</v>
      </c>
      <c r="C4" s="10"/>
      <c r="D4" s="10"/>
      <c r="E4" s="10"/>
      <c r="F4" s="10"/>
      <c r="G4" s="10"/>
      <c r="H4" s="10"/>
      <c r="I4" s="10"/>
      <c r="J4" s="10"/>
      <c r="K4" s="10"/>
      <c r="L4" s="1"/>
    </row>
    <row r="5" spans="1:12" ht="16.5" customHeight="1" thickBot="1" thickTop="1">
      <c r="A5" s="10"/>
      <c r="B5" s="11" t="s">
        <v>4</v>
      </c>
      <c r="C5" s="69" t="s">
        <v>5</v>
      </c>
      <c r="D5" s="4"/>
      <c r="E5" s="4"/>
      <c r="F5" s="12" t="s">
        <v>6</v>
      </c>
      <c r="G5" s="13" t="s">
        <v>7</v>
      </c>
      <c r="H5" s="10"/>
      <c r="I5" s="10"/>
      <c r="J5" s="10"/>
      <c r="K5" s="10"/>
      <c r="L5" s="1"/>
    </row>
    <row r="6" spans="1:12" ht="16.5" customHeight="1" thickBot="1">
      <c r="A6" s="10"/>
      <c r="B6" s="31" t="s">
        <v>8</v>
      </c>
      <c r="C6" s="76" t="s">
        <v>9</v>
      </c>
      <c r="D6" s="76" t="s">
        <v>10</v>
      </c>
      <c r="E6" s="71" t="s">
        <v>11</v>
      </c>
      <c r="F6" s="12"/>
      <c r="G6" s="10" t="s">
        <v>12</v>
      </c>
      <c r="H6" s="10"/>
      <c r="I6" s="10"/>
      <c r="J6" s="10"/>
      <c r="K6" s="10"/>
      <c r="L6" s="1"/>
    </row>
    <row r="7" spans="1:12" ht="16.5" customHeight="1">
      <c r="A7" s="10"/>
      <c r="B7" s="31" t="s">
        <v>1</v>
      </c>
      <c r="C7" s="70" t="s">
        <v>13</v>
      </c>
      <c r="D7" s="33"/>
      <c r="E7" s="72"/>
      <c r="F7" s="12"/>
      <c r="G7" s="10" t="s">
        <v>14</v>
      </c>
      <c r="H7" s="10"/>
      <c r="I7" s="10"/>
      <c r="J7" s="10"/>
      <c r="K7" s="10"/>
      <c r="L7" s="1"/>
    </row>
    <row r="8" spans="1:12" ht="16.5" customHeight="1" thickBot="1">
      <c r="A8" s="10"/>
      <c r="B8" s="12"/>
      <c r="C8" s="61"/>
      <c r="D8" s="15"/>
      <c r="E8" s="73"/>
      <c r="F8" s="12"/>
      <c r="G8" s="10" t="s">
        <v>15</v>
      </c>
      <c r="H8" s="10"/>
      <c r="I8" s="10"/>
      <c r="J8" s="10"/>
      <c r="K8" s="10"/>
      <c r="L8" s="1"/>
    </row>
    <row r="9" spans="1:12" ht="16.5" customHeight="1" thickBot="1">
      <c r="A9" s="10"/>
      <c r="B9" s="31" t="s">
        <v>16</v>
      </c>
      <c r="C9" s="70"/>
      <c r="D9" s="77">
        <v>50</v>
      </c>
      <c r="E9" s="73" t="s">
        <v>17</v>
      </c>
      <c r="F9" s="12"/>
      <c r="G9" s="10" t="s">
        <v>125</v>
      </c>
      <c r="H9" s="10"/>
      <c r="I9" s="10"/>
      <c r="J9" s="10"/>
      <c r="K9" s="10"/>
      <c r="L9" s="1"/>
    </row>
    <row r="10" spans="1:12" ht="16.5" customHeight="1">
      <c r="A10" s="10"/>
      <c r="B10" s="31" t="s">
        <v>18</v>
      </c>
      <c r="C10" s="75" t="s">
        <v>124</v>
      </c>
      <c r="D10" s="68">
        <f>IF(F61="","",ROUND(F61,2))</f>
        <v>25</v>
      </c>
      <c r="E10" s="73" t="s">
        <v>19</v>
      </c>
      <c r="F10" s="12"/>
      <c r="G10" s="10" t="s">
        <v>126</v>
      </c>
      <c r="H10" s="10"/>
      <c r="I10" s="10"/>
      <c r="J10" s="10"/>
      <c r="K10" s="10"/>
      <c r="L10" s="1"/>
    </row>
    <row r="11" spans="1:12" ht="16.5" customHeight="1" thickBot="1">
      <c r="A11" s="10"/>
      <c r="B11" s="14" t="s">
        <v>20</v>
      </c>
      <c r="C11" s="66" t="s">
        <v>21</v>
      </c>
      <c r="D11" s="17">
        <f>IF(G61="","",ROUND(G61,2))</f>
        <v>4.7</v>
      </c>
      <c r="E11" s="73"/>
      <c r="F11" s="12"/>
      <c r="G11" s="10" t="s">
        <v>22</v>
      </c>
      <c r="H11" s="10"/>
      <c r="I11" s="10"/>
      <c r="J11" s="10"/>
      <c r="K11" s="10"/>
      <c r="L11" s="1"/>
    </row>
    <row r="12" spans="1:12" ht="16.5" customHeight="1">
      <c r="A12" s="10"/>
      <c r="B12" s="31" t="s">
        <v>23</v>
      </c>
      <c r="C12" s="75" t="s">
        <v>124</v>
      </c>
      <c r="D12" s="68">
        <f>IF(H61="","",ROUND(H61,2))</f>
        <v>0</v>
      </c>
      <c r="E12" s="73" t="s">
        <v>19</v>
      </c>
      <c r="F12" s="12"/>
      <c r="G12" s="10" t="s">
        <v>24</v>
      </c>
      <c r="H12" s="10"/>
      <c r="I12" s="10"/>
      <c r="J12" s="10"/>
      <c r="K12" s="10"/>
      <c r="L12" s="1"/>
    </row>
    <row r="13" spans="1:12" ht="16.5" customHeight="1" thickBot="1">
      <c r="A13" s="10"/>
      <c r="B13" s="14" t="s">
        <v>25</v>
      </c>
      <c r="C13" s="66" t="s">
        <v>21</v>
      </c>
      <c r="D13" s="17">
        <f>IF(I61="","",ROUND(I61,2))</f>
        <v>0</v>
      </c>
      <c r="E13" s="73"/>
      <c r="F13" s="12"/>
      <c r="G13" s="10" t="s">
        <v>26</v>
      </c>
      <c r="H13" s="10"/>
      <c r="I13" s="10"/>
      <c r="J13" s="10"/>
      <c r="K13" s="10"/>
      <c r="L13" s="1"/>
    </row>
    <row r="14" spans="1:12" ht="16.5" customHeight="1" thickBot="1">
      <c r="A14" s="10"/>
      <c r="B14" s="31" t="s">
        <v>27</v>
      </c>
      <c r="C14" s="74" t="s">
        <v>28</v>
      </c>
      <c r="D14" s="77">
        <v>6.5</v>
      </c>
      <c r="E14" s="73" t="s">
        <v>17</v>
      </c>
      <c r="F14" s="12"/>
      <c r="G14" s="10" t="s">
        <v>29</v>
      </c>
      <c r="H14" s="10"/>
      <c r="I14" s="10"/>
      <c r="J14" s="10"/>
      <c r="K14" s="10"/>
      <c r="L14" s="1"/>
    </row>
    <row r="15" spans="1:12" ht="16.5" customHeight="1" thickTop="1">
      <c r="A15" s="10"/>
      <c r="B15" s="4"/>
      <c r="C15" s="4"/>
      <c r="D15" s="4"/>
      <c r="E15" s="4"/>
      <c r="F15" s="10"/>
      <c r="G15" s="10" t="s">
        <v>30</v>
      </c>
      <c r="H15" s="10"/>
      <c r="I15" s="10"/>
      <c r="J15" s="10"/>
      <c r="K15" s="10"/>
      <c r="L15" s="1"/>
    </row>
    <row r="16" spans="1:12" ht="16.5" customHeight="1" thickBot="1">
      <c r="A16" s="10"/>
      <c r="B16" s="10"/>
      <c r="C16" s="10"/>
      <c r="D16" s="10"/>
      <c r="E16" s="10"/>
      <c r="F16" s="10"/>
      <c r="G16" s="10"/>
      <c r="H16" s="10"/>
      <c r="I16" s="10"/>
      <c r="J16" s="10"/>
      <c r="K16" s="10"/>
      <c r="L16" s="1"/>
    </row>
    <row r="17" spans="1:12" ht="16.5" customHeight="1" thickBot="1" thickTop="1">
      <c r="A17" s="18" t="s">
        <v>31</v>
      </c>
      <c r="B17" s="19" t="s">
        <v>32</v>
      </c>
      <c r="C17" s="78">
        <v>300</v>
      </c>
      <c r="D17" s="79">
        <v>350</v>
      </c>
      <c r="E17" s="79">
        <v>400</v>
      </c>
      <c r="F17" s="79">
        <v>450</v>
      </c>
      <c r="G17" s="79">
        <v>500</v>
      </c>
      <c r="H17" s="79">
        <v>600</v>
      </c>
      <c r="I17" s="79">
        <v>700</v>
      </c>
      <c r="J17" s="79">
        <v>800</v>
      </c>
      <c r="K17" s="79">
        <v>900</v>
      </c>
      <c r="L17" s="9"/>
    </row>
    <row r="18" spans="1:12" ht="16.5" customHeight="1" thickBot="1">
      <c r="A18" s="28" t="s">
        <v>33</v>
      </c>
      <c r="B18" s="29" t="s">
        <v>127</v>
      </c>
      <c r="C18" s="39" t="e">
        <f>#VALUE!</f>
        <v>#VALUE!</v>
      </c>
      <c r="D18" s="30" t="e">
        <f>#VALUE!</f>
        <v>#VALUE!</v>
      </c>
      <c r="E18" s="30" t="e">
        <f>#VALUE!</f>
        <v>#VALUE!</v>
      </c>
      <c r="F18" s="30" t="e">
        <f>#VALUE!</f>
        <v>#VALUE!</v>
      </c>
      <c r="G18" s="30" t="e">
        <f>#VALUE!</f>
        <v>#VALUE!</v>
      </c>
      <c r="H18" s="30" t="e">
        <f>#VALUE!</f>
        <v>#VALUE!</v>
      </c>
      <c r="I18" s="30" t="e">
        <f>#VALUE!</f>
        <v>#VALUE!</v>
      </c>
      <c r="J18" s="30" t="e">
        <f>#VALUE!</f>
        <v>#VALUE!</v>
      </c>
      <c r="K18" s="30" t="e">
        <f>#VALUE!</f>
        <v>#VALUE!</v>
      </c>
      <c r="L18" s="9"/>
    </row>
    <row r="19" spans="1:12" ht="16.5" customHeight="1">
      <c r="A19" s="31" t="s">
        <v>33</v>
      </c>
      <c r="B19" s="32" t="s">
        <v>128</v>
      </c>
      <c r="C19" s="40">
        <f aca="true" t="shared" si="0" ref="C19:K19">IF(C17="","",ROUND((C17/2000)^2*3.14,3))</f>
        <v>0.071</v>
      </c>
      <c r="D19" s="29">
        <f t="shared" si="0"/>
        <v>0.096</v>
      </c>
      <c r="E19" s="29">
        <f t="shared" si="0"/>
        <v>0.126</v>
      </c>
      <c r="F19" s="29">
        <f t="shared" si="0"/>
        <v>0.159</v>
      </c>
      <c r="G19" s="29">
        <f t="shared" si="0"/>
        <v>0.196</v>
      </c>
      <c r="H19" s="29">
        <f t="shared" si="0"/>
        <v>0.283</v>
      </c>
      <c r="I19" s="29">
        <f t="shared" si="0"/>
        <v>0.385</v>
      </c>
      <c r="J19" s="29">
        <f t="shared" si="0"/>
        <v>0.502</v>
      </c>
      <c r="K19" s="29">
        <f t="shared" si="0"/>
        <v>0.636</v>
      </c>
      <c r="L19" s="9"/>
    </row>
    <row r="20" spans="1:12" ht="16.5" customHeight="1" thickBot="1">
      <c r="A20" s="14" t="s">
        <v>34</v>
      </c>
      <c r="B20" s="20" t="s">
        <v>35</v>
      </c>
      <c r="C20" s="41">
        <f aca="true" t="shared" si="1" ref="C20:K20">IF(C17="","",ROUND((C17/1000)*3.14,3))</f>
        <v>0.942</v>
      </c>
      <c r="D20" s="21">
        <f t="shared" si="1"/>
        <v>1.099</v>
      </c>
      <c r="E20" s="21">
        <f t="shared" si="1"/>
        <v>1.256</v>
      </c>
      <c r="F20" s="21">
        <f t="shared" si="1"/>
        <v>1.413</v>
      </c>
      <c r="G20" s="21">
        <f t="shared" si="1"/>
        <v>1.57</v>
      </c>
      <c r="H20" s="21">
        <f t="shared" si="1"/>
        <v>1.884</v>
      </c>
      <c r="I20" s="21">
        <f t="shared" si="1"/>
        <v>2.198</v>
      </c>
      <c r="J20" s="21">
        <f t="shared" si="1"/>
        <v>2.512</v>
      </c>
      <c r="K20" s="21">
        <f t="shared" si="1"/>
        <v>2.826</v>
      </c>
      <c r="L20" s="9"/>
    </row>
    <row r="21" spans="1:12" ht="16.5" customHeight="1">
      <c r="A21" s="31" t="s">
        <v>36</v>
      </c>
      <c r="B21" s="33"/>
      <c r="C21" s="80">
        <v>1</v>
      </c>
      <c r="D21" s="77">
        <v>1</v>
      </c>
      <c r="E21" s="77">
        <v>1</v>
      </c>
      <c r="F21" s="77">
        <v>1</v>
      </c>
      <c r="G21" s="77">
        <v>1</v>
      </c>
      <c r="H21" s="77">
        <v>1</v>
      </c>
      <c r="I21" s="77">
        <v>1</v>
      </c>
      <c r="J21" s="77">
        <v>1</v>
      </c>
      <c r="K21" s="77">
        <v>1</v>
      </c>
      <c r="L21" s="9"/>
    </row>
    <row r="22" spans="1:12" ht="16.5" customHeight="1" thickBot="1">
      <c r="A22" s="12"/>
      <c r="B22" s="10"/>
      <c r="C22" s="42" t="str">
        <f aca="true" t="shared" si="2" ref="C22:K22">IF(C21="","",IF(C21=1,"根固め杭","エラー"))</f>
        <v>根固め杭</v>
      </c>
      <c r="D22" s="22" t="str">
        <f t="shared" si="2"/>
        <v>根固め杭</v>
      </c>
      <c r="E22" s="22" t="str">
        <f t="shared" si="2"/>
        <v>根固め杭</v>
      </c>
      <c r="F22" s="22" t="str">
        <f t="shared" si="2"/>
        <v>根固め杭</v>
      </c>
      <c r="G22" s="22" t="str">
        <f t="shared" si="2"/>
        <v>根固め杭</v>
      </c>
      <c r="H22" s="22" t="str">
        <f t="shared" si="2"/>
        <v>根固め杭</v>
      </c>
      <c r="I22" s="22" t="str">
        <f t="shared" si="2"/>
        <v>根固め杭</v>
      </c>
      <c r="J22" s="22" t="str">
        <f t="shared" si="2"/>
        <v>根固め杭</v>
      </c>
      <c r="K22" s="22" t="str">
        <f t="shared" si="2"/>
        <v>根固め杭</v>
      </c>
      <c r="L22" s="9"/>
    </row>
    <row r="23" spans="1:12" ht="16.5" customHeight="1">
      <c r="A23" s="31" t="s">
        <v>37</v>
      </c>
      <c r="B23" s="32" t="s">
        <v>38</v>
      </c>
      <c r="C23" s="43">
        <f aca="true" t="shared" si="3" ref="C23:K23">IF(C21="","",IF(C21=1,25,"エラー"))</f>
        <v>25</v>
      </c>
      <c r="D23" s="34">
        <f t="shared" si="3"/>
        <v>25</v>
      </c>
      <c r="E23" s="34">
        <f t="shared" si="3"/>
        <v>25</v>
      </c>
      <c r="F23" s="34">
        <f t="shared" si="3"/>
        <v>25</v>
      </c>
      <c r="G23" s="34">
        <f t="shared" si="3"/>
        <v>25</v>
      </c>
      <c r="H23" s="34">
        <f t="shared" si="3"/>
        <v>25</v>
      </c>
      <c r="I23" s="34">
        <f t="shared" si="3"/>
        <v>25</v>
      </c>
      <c r="J23" s="34">
        <f t="shared" si="3"/>
        <v>25</v>
      </c>
      <c r="K23" s="34">
        <f t="shared" si="3"/>
        <v>25</v>
      </c>
      <c r="L23" s="9"/>
    </row>
    <row r="24" spans="1:12" ht="16.5" customHeight="1">
      <c r="A24" s="14" t="s">
        <v>39</v>
      </c>
      <c r="B24" s="20" t="s">
        <v>40</v>
      </c>
      <c r="C24" s="44">
        <f>IF(C23="","",ROUNDDOWN(C23*D9*C19/3,0))</f>
        <v>29</v>
      </c>
      <c r="D24" s="20">
        <f>IF(D23="","",ROUNDDOWN(D23*D9*D19/3,0))</f>
        <v>40</v>
      </c>
      <c r="E24" s="20">
        <f>IF(E23="","",ROUNDDOWN(E23*D9*E19/3,0))</f>
        <v>52</v>
      </c>
      <c r="F24" s="20">
        <f>IF(F23="","",ROUNDDOWN(F23*D9*F19/3,0))</f>
        <v>66</v>
      </c>
      <c r="G24" s="20">
        <f>IF(G23="","",ROUNDDOWN(G23*D9*G19/3,0))</f>
        <v>81</v>
      </c>
      <c r="H24" s="20">
        <f>IF(H23="","",ROUNDDOWN(H23*D9*H19/3,0))</f>
        <v>117</v>
      </c>
      <c r="I24" s="20">
        <f>IF(I23="","",ROUNDDOWN(I23*D9*I19/3,0))</f>
        <v>160</v>
      </c>
      <c r="J24" s="20">
        <f>IF(J23="","",ROUNDDOWN(J23*D9*J19/3,0))</f>
        <v>209</v>
      </c>
      <c r="K24" s="20">
        <f>IF(K23="","",ROUNDDOWN(K23*D9*K19/3,0))</f>
        <v>265</v>
      </c>
      <c r="L24" s="9"/>
    </row>
    <row r="25" spans="1:12" ht="16.5" customHeight="1">
      <c r="A25" s="14" t="s">
        <v>41</v>
      </c>
      <c r="B25" s="20" t="s">
        <v>42</v>
      </c>
      <c r="C25" s="45">
        <f>IF(C17="","",IF($D$10="",0,ROUND(($D$10/5)*$D$11*C20/3,1)))</f>
        <v>7.4</v>
      </c>
      <c r="D25" s="23">
        <f>IF(D17="","",IF($D$10="",0,ROUND(($D$10/5)*$D$11*D20/3,1)))</f>
        <v>8.6</v>
      </c>
      <c r="E25" s="23">
        <f aca="true" t="shared" si="4" ref="E25:K25">IF(E17="","",IF($D$10="",0,ROUND(($D$10/5)*$D$11*E20/3,1)))</f>
        <v>9.8</v>
      </c>
      <c r="F25" s="23">
        <f t="shared" si="4"/>
        <v>11.1</v>
      </c>
      <c r="G25" s="23">
        <f t="shared" si="4"/>
        <v>12.3</v>
      </c>
      <c r="H25" s="23">
        <f t="shared" si="4"/>
        <v>14.8</v>
      </c>
      <c r="I25" s="23">
        <f t="shared" si="4"/>
        <v>17.2</v>
      </c>
      <c r="J25" s="23">
        <f t="shared" si="4"/>
        <v>19.7</v>
      </c>
      <c r="K25" s="23">
        <f t="shared" si="4"/>
        <v>22.1</v>
      </c>
      <c r="L25" s="9"/>
    </row>
    <row r="26" spans="1:12" ht="16.5" customHeight="1">
      <c r="A26" s="14" t="s">
        <v>43</v>
      </c>
      <c r="B26" s="20" t="s">
        <v>44</v>
      </c>
      <c r="C26" s="44">
        <f>IF(C17="","",IF($D$12="",0,ROUND(($D$12/2)*$D$13*C20/3,1)))</f>
        <v>0</v>
      </c>
      <c r="D26" s="20">
        <f>IF(D17="","",IF($D$12="",0,ROUND(($D$12/2)*$D$13*D20/3,1)))</f>
        <v>0</v>
      </c>
      <c r="E26" s="20">
        <f aca="true" t="shared" si="5" ref="E26:K26">IF(E17="","",IF($D$12="",0,ROUND(($D$12/2)*$D$13*E20/3,1)))</f>
        <v>0</v>
      </c>
      <c r="F26" s="20">
        <f t="shared" si="5"/>
        <v>0</v>
      </c>
      <c r="G26" s="20">
        <f t="shared" si="5"/>
        <v>0</v>
      </c>
      <c r="H26" s="20">
        <f t="shared" si="5"/>
        <v>0</v>
      </c>
      <c r="I26" s="20">
        <f t="shared" si="5"/>
        <v>0</v>
      </c>
      <c r="J26" s="20">
        <f t="shared" si="5"/>
        <v>0</v>
      </c>
      <c r="K26" s="20">
        <f t="shared" si="5"/>
        <v>0</v>
      </c>
      <c r="L26" s="9"/>
    </row>
    <row r="27" spans="1:12" ht="16.5" customHeight="1" thickBot="1">
      <c r="A27" s="14" t="s">
        <v>45</v>
      </c>
      <c r="B27" s="20" t="s">
        <v>46</v>
      </c>
      <c r="C27" s="46">
        <f aca="true" t="shared" si="6" ref="C27:K27">IF(C24="","",ROUND(C24+C25+C26,1))</f>
        <v>36.4</v>
      </c>
      <c r="D27" s="24">
        <f t="shared" si="6"/>
        <v>48.6</v>
      </c>
      <c r="E27" s="24">
        <f t="shared" si="6"/>
        <v>61.8</v>
      </c>
      <c r="F27" s="24">
        <f t="shared" si="6"/>
        <v>77.1</v>
      </c>
      <c r="G27" s="24">
        <f t="shared" si="6"/>
        <v>93.3</v>
      </c>
      <c r="H27" s="24">
        <f t="shared" si="6"/>
        <v>131.8</v>
      </c>
      <c r="I27" s="24">
        <f t="shared" si="6"/>
        <v>177.2</v>
      </c>
      <c r="J27" s="24">
        <f t="shared" si="6"/>
        <v>228.7</v>
      </c>
      <c r="K27" s="24">
        <f t="shared" si="6"/>
        <v>287.1</v>
      </c>
      <c r="L27" s="9"/>
    </row>
    <row r="28" spans="1:12" ht="16.5" customHeight="1" thickBot="1">
      <c r="A28" s="31" t="s">
        <v>47</v>
      </c>
      <c r="B28" s="33"/>
      <c r="C28" s="47" t="str">
        <f>IF(C17="","",T($D6:$D6))</f>
        <v>C</v>
      </c>
      <c r="D28" s="35" t="str">
        <f>IF(D17="","",T($D6:$D6))</f>
        <v>C</v>
      </c>
      <c r="E28" s="35" t="str">
        <f aca="true" t="shared" si="7" ref="E28:K28">IF(E17="","",T($D6:$D6))</f>
        <v>C</v>
      </c>
      <c r="F28" s="35" t="str">
        <f t="shared" si="7"/>
        <v>C</v>
      </c>
      <c r="G28" s="35" t="str">
        <f t="shared" si="7"/>
        <v>C</v>
      </c>
      <c r="H28" s="35" t="str">
        <f t="shared" si="7"/>
        <v>C</v>
      </c>
      <c r="I28" s="35" t="str">
        <f t="shared" si="7"/>
        <v>C</v>
      </c>
      <c r="J28" s="35" t="str">
        <f t="shared" si="7"/>
        <v>C</v>
      </c>
      <c r="K28" s="35" t="str">
        <f t="shared" si="7"/>
        <v>C</v>
      </c>
      <c r="L28" s="9"/>
    </row>
    <row r="29" spans="1:12" ht="16.5" customHeight="1" thickBot="1">
      <c r="A29" s="31" t="s">
        <v>48</v>
      </c>
      <c r="B29" s="32" t="s">
        <v>49</v>
      </c>
      <c r="C29" s="48" t="e">
        <f aca="true" t="shared" si="8" ref="C29:K29">IF(C28="","",IF(C28="A",ROUND((200-40)*C18*10^-3,2),IF(C28="B",ROUND((240-80)*C18*10^-3,2),IF(C28="c",ROUND((240-100)*C18*10^-3,2),"確認"))))</f>
        <v>#VALUE!</v>
      </c>
      <c r="D29" s="36" t="e">
        <f t="shared" si="8"/>
        <v>#VALUE!</v>
      </c>
      <c r="E29" s="36" t="e">
        <f t="shared" si="8"/>
        <v>#VALUE!</v>
      </c>
      <c r="F29" s="36" t="e">
        <f t="shared" si="8"/>
        <v>#VALUE!</v>
      </c>
      <c r="G29" s="36" t="e">
        <f t="shared" si="8"/>
        <v>#VALUE!</v>
      </c>
      <c r="H29" s="36" t="e">
        <f t="shared" si="8"/>
        <v>#VALUE!</v>
      </c>
      <c r="I29" s="36" t="e">
        <f t="shared" si="8"/>
        <v>#VALUE!</v>
      </c>
      <c r="J29" s="36" t="e">
        <f t="shared" si="8"/>
        <v>#VALUE!</v>
      </c>
      <c r="K29" s="36" t="e">
        <f t="shared" si="8"/>
        <v>#VALUE!</v>
      </c>
      <c r="L29" s="9"/>
    </row>
    <row r="30" spans="1:12" ht="16.5" customHeight="1">
      <c r="A30" s="31" t="s">
        <v>50</v>
      </c>
      <c r="B30" s="32" t="s">
        <v>51</v>
      </c>
      <c r="C30" s="43">
        <f>IF(C17="","",IF($D$14/(C17*10^-3)&lt;85,0,ROUND(((C14/(C17*10^-3))-85)/100,3)))</f>
        <v>0</v>
      </c>
      <c r="D30" s="34">
        <f>IF(D17="","",IF($D$14/(D17*10^-3)&lt;85,0,ROUND(((D14/(D17*10^-3))-85)/100,3)))</f>
        <v>0</v>
      </c>
      <c r="E30" s="34">
        <f aca="true" t="shared" si="9" ref="E30:K30">IF(E17="","",IF($D$14/(E17*10^-3)&lt;85,0,ROUND(((E14/(E17*10^-3))-85)/100,3)))</f>
        <v>0</v>
      </c>
      <c r="F30" s="34">
        <f t="shared" si="9"/>
        <v>0</v>
      </c>
      <c r="G30" s="34">
        <f t="shared" si="9"/>
        <v>0</v>
      </c>
      <c r="H30" s="34">
        <f t="shared" si="9"/>
        <v>0</v>
      </c>
      <c r="I30" s="34">
        <f t="shared" si="9"/>
        <v>0</v>
      </c>
      <c r="J30" s="34">
        <f t="shared" si="9"/>
        <v>0</v>
      </c>
      <c r="K30" s="34">
        <f t="shared" si="9"/>
        <v>0</v>
      </c>
      <c r="L30" s="9"/>
    </row>
    <row r="31" spans="1:12" ht="16.5" customHeight="1" thickBot="1">
      <c r="A31" s="14" t="s">
        <v>52</v>
      </c>
      <c r="B31" s="20" t="s">
        <v>53</v>
      </c>
      <c r="C31" s="42" t="str">
        <f>IF(C17="","",IF(($D$14/(C17*10^-3))&gt;110,"不可","OK"))</f>
        <v>OK</v>
      </c>
      <c r="D31" s="22" t="str">
        <f>IF(D17="","",IF(($D$14/(D17*10^-3))&gt;110,"不可","OK"))</f>
        <v>OK</v>
      </c>
      <c r="E31" s="22" t="str">
        <f aca="true" t="shared" si="10" ref="E31:K31">IF(E17="","",IF(($D$14/(E17*10^-3))&gt;110,"不可","OK"))</f>
        <v>OK</v>
      </c>
      <c r="F31" s="22" t="str">
        <f t="shared" si="10"/>
        <v>OK</v>
      </c>
      <c r="G31" s="22" t="str">
        <f t="shared" si="10"/>
        <v>OK</v>
      </c>
      <c r="H31" s="22" t="str">
        <f t="shared" si="10"/>
        <v>OK</v>
      </c>
      <c r="I31" s="22" t="str">
        <f t="shared" si="10"/>
        <v>OK</v>
      </c>
      <c r="J31" s="22" t="str">
        <f t="shared" si="10"/>
        <v>OK</v>
      </c>
      <c r="K31" s="22" t="str">
        <f t="shared" si="10"/>
        <v>OK</v>
      </c>
      <c r="L31" s="9"/>
    </row>
    <row r="32" spans="1:12" ht="16.5" customHeight="1" thickBot="1">
      <c r="A32" s="31" t="s">
        <v>54</v>
      </c>
      <c r="B32" s="32" t="s">
        <v>55</v>
      </c>
      <c r="C32" s="80"/>
      <c r="D32" s="77"/>
      <c r="E32" s="77"/>
      <c r="F32" s="77"/>
      <c r="G32" s="77"/>
      <c r="H32" s="77"/>
      <c r="I32" s="77"/>
      <c r="J32" s="77"/>
      <c r="K32" s="77"/>
      <c r="L32" s="9"/>
    </row>
    <row r="33" spans="1:12" ht="16.5" customHeight="1" thickBot="1">
      <c r="A33" s="31" t="s">
        <v>56</v>
      </c>
      <c r="B33" s="32" t="s">
        <v>57</v>
      </c>
      <c r="C33" s="43">
        <f>IF(C17="","",IF(C32="",0,ROUND(C32*0.05,2)))</f>
        <v>0</v>
      </c>
      <c r="D33" s="34">
        <f>IF(D17="","",IF(D32="",0,ROUND(D32*0.05,2)))</f>
        <v>0</v>
      </c>
      <c r="E33" s="34">
        <f aca="true" t="shared" si="11" ref="E33:K33">IF(E17="","",IF(E32="",0,ROUND(E32*0.05,2)))</f>
        <v>0</v>
      </c>
      <c r="F33" s="34">
        <f t="shared" si="11"/>
        <v>0</v>
      </c>
      <c r="G33" s="34">
        <f t="shared" si="11"/>
        <v>0</v>
      </c>
      <c r="H33" s="34">
        <f t="shared" si="11"/>
        <v>0</v>
      </c>
      <c r="I33" s="34">
        <f t="shared" si="11"/>
        <v>0</v>
      </c>
      <c r="J33" s="34">
        <f t="shared" si="11"/>
        <v>0</v>
      </c>
      <c r="K33" s="34">
        <f t="shared" si="11"/>
        <v>0</v>
      </c>
      <c r="L33" s="9"/>
    </row>
    <row r="34" spans="1:12" ht="16.5" customHeight="1">
      <c r="A34" s="31" t="s">
        <v>58</v>
      </c>
      <c r="B34" s="32" t="s">
        <v>59</v>
      </c>
      <c r="C34" s="43">
        <f>IF(C17="","",TRUNC(C27))</f>
        <v>36</v>
      </c>
      <c r="D34" s="34">
        <f>IF(D17="","",TRUNC(D27))</f>
        <v>48</v>
      </c>
      <c r="E34" s="34">
        <f aca="true" t="shared" si="12" ref="E34:K34">IF(E17="","",TRUNC(E27))</f>
        <v>61</v>
      </c>
      <c r="F34" s="34">
        <f t="shared" si="12"/>
        <v>77</v>
      </c>
      <c r="G34" s="34">
        <f t="shared" si="12"/>
        <v>93</v>
      </c>
      <c r="H34" s="34">
        <f t="shared" si="12"/>
        <v>131</v>
      </c>
      <c r="I34" s="34">
        <f t="shared" si="12"/>
        <v>177</v>
      </c>
      <c r="J34" s="34">
        <f t="shared" si="12"/>
        <v>228</v>
      </c>
      <c r="K34" s="34">
        <f t="shared" si="12"/>
        <v>287</v>
      </c>
      <c r="L34" s="9"/>
    </row>
    <row r="35" spans="1:13" ht="16.5" customHeight="1" thickBot="1">
      <c r="A35" s="14" t="s">
        <v>60</v>
      </c>
      <c r="B35" s="20" t="s">
        <v>61</v>
      </c>
      <c r="C35" s="42" t="e">
        <f>IF(C17="","",TRUNC(ROUND(C29*(1-C30-C33),0)))</f>
        <v>#VALUE!</v>
      </c>
      <c r="D35" s="22" t="e">
        <f>IF(D17="","",TRUNC(ROUND(D29*(1-D30-D33),0)))</f>
        <v>#VALUE!</v>
      </c>
      <c r="E35" s="22" t="e">
        <f aca="true" t="shared" si="13" ref="E35:K35">IF(E17="","",TRUNC(ROUND(E29*(1-E30-E33),0)))</f>
        <v>#VALUE!</v>
      </c>
      <c r="F35" s="22" t="e">
        <f t="shared" si="13"/>
        <v>#VALUE!</v>
      </c>
      <c r="G35" s="22" t="e">
        <f t="shared" si="13"/>
        <v>#VALUE!</v>
      </c>
      <c r="H35" s="22" t="e">
        <f t="shared" si="13"/>
        <v>#VALUE!</v>
      </c>
      <c r="I35" s="22" t="e">
        <f t="shared" si="13"/>
        <v>#VALUE!</v>
      </c>
      <c r="J35" s="22" t="e">
        <f t="shared" si="13"/>
        <v>#VALUE!</v>
      </c>
      <c r="K35" s="22" t="e">
        <f t="shared" si="13"/>
        <v>#VALUE!</v>
      </c>
      <c r="L35" s="9"/>
      <c r="M35" s="59"/>
    </row>
    <row r="36" spans="1:12" ht="16.5" customHeight="1" thickBot="1">
      <c r="A36" s="28" t="s">
        <v>62</v>
      </c>
      <c r="B36" s="37"/>
      <c r="C36" s="49" t="e">
        <f>IF(C17="","",MIN(C34,C35))</f>
        <v>#VALUE!</v>
      </c>
      <c r="D36" s="38" t="e">
        <f>IF(D17="","",MIN(D34,D35))</f>
        <v>#VALUE!</v>
      </c>
      <c r="E36" s="38" t="e">
        <f aca="true" t="shared" si="14" ref="E36:K36">IF(E17="","",MIN(E34,E35))</f>
        <v>#VALUE!</v>
      </c>
      <c r="F36" s="38" t="e">
        <f t="shared" si="14"/>
        <v>#VALUE!</v>
      </c>
      <c r="G36" s="38" t="e">
        <f t="shared" si="14"/>
        <v>#VALUE!</v>
      </c>
      <c r="H36" s="38" t="e">
        <f t="shared" si="14"/>
        <v>#VALUE!</v>
      </c>
      <c r="I36" s="38" t="e">
        <f t="shared" si="14"/>
        <v>#VALUE!</v>
      </c>
      <c r="J36" s="38" t="e">
        <f t="shared" si="14"/>
        <v>#VALUE!</v>
      </c>
      <c r="K36" s="38" t="e">
        <f t="shared" si="14"/>
        <v>#VALUE!</v>
      </c>
      <c r="L36" s="9"/>
    </row>
    <row r="37" spans="1:12" ht="16.5" customHeight="1" thickBot="1">
      <c r="A37" s="28" t="s">
        <v>63</v>
      </c>
      <c r="B37" s="37"/>
      <c r="C37" s="50" t="e">
        <f>IF(C17="","",ROUND(C36*9.806,0))</f>
        <v>#VALUE!</v>
      </c>
      <c r="D37" s="38" t="e">
        <f>IF(D17="","",ROUND(D36*9.806,0))</f>
        <v>#VALUE!</v>
      </c>
      <c r="E37" s="38" t="e">
        <f aca="true" t="shared" si="15" ref="E37:K37">IF(E17="","",ROUND(E36*9.806,0))</f>
        <v>#VALUE!</v>
      </c>
      <c r="F37" s="38" t="e">
        <f t="shared" si="15"/>
        <v>#VALUE!</v>
      </c>
      <c r="G37" s="38" t="e">
        <f t="shared" si="15"/>
        <v>#VALUE!</v>
      </c>
      <c r="H37" s="38" t="e">
        <f t="shared" si="15"/>
        <v>#VALUE!</v>
      </c>
      <c r="I37" s="38" t="e">
        <f t="shared" si="15"/>
        <v>#VALUE!</v>
      </c>
      <c r="J37" s="38" t="e">
        <f t="shared" si="15"/>
        <v>#VALUE!</v>
      </c>
      <c r="K37" s="52" t="e">
        <f t="shared" si="15"/>
        <v>#VALUE!</v>
      </c>
      <c r="L37" s="51"/>
    </row>
    <row r="38" spans="1:12" ht="16.5" customHeight="1" thickBot="1" thickTop="1">
      <c r="A38" s="4"/>
      <c r="B38" s="4"/>
      <c r="C38" s="4"/>
      <c r="D38" s="4"/>
      <c r="E38" s="4"/>
      <c r="F38" s="4"/>
      <c r="G38" s="4"/>
      <c r="H38" s="4"/>
      <c r="I38" s="4"/>
      <c r="J38" s="4"/>
      <c r="K38" s="4"/>
      <c r="L38" s="1"/>
    </row>
    <row r="39" spans="1:12" ht="16.5" customHeight="1" thickBot="1" thickTop="1">
      <c r="A39" s="10"/>
      <c r="B39" s="11" t="s">
        <v>64</v>
      </c>
      <c r="C39" s="4"/>
      <c r="D39" s="4"/>
      <c r="E39" s="4"/>
      <c r="F39" s="4"/>
      <c r="G39" s="4"/>
      <c r="H39" s="81">
        <v>1</v>
      </c>
      <c r="I39" s="67" t="str">
        <f>IF(H39=1,"検討有","検討無")</f>
        <v>検討有</v>
      </c>
      <c r="J39" s="12"/>
      <c r="K39" s="1"/>
      <c r="L39" s="1"/>
    </row>
    <row r="40" spans="1:12" ht="16.5" customHeight="1">
      <c r="A40" s="10"/>
      <c r="B40" s="53" t="s">
        <v>65</v>
      </c>
      <c r="C40" s="54" t="s">
        <v>66</v>
      </c>
      <c r="D40" s="54"/>
      <c r="E40" s="54"/>
      <c r="F40" s="54"/>
      <c r="G40" s="54"/>
      <c r="H40" s="54"/>
      <c r="I40" s="54"/>
      <c r="J40" s="12"/>
      <c r="K40" s="1"/>
      <c r="L40" s="1"/>
    </row>
    <row r="41" spans="1:12" ht="16.5" customHeight="1" thickBot="1">
      <c r="A41" s="10"/>
      <c r="B41" s="12"/>
      <c r="C41" s="25" t="s">
        <v>67</v>
      </c>
      <c r="D41" s="25"/>
      <c r="E41" s="25"/>
      <c r="F41" s="25"/>
      <c r="G41" s="25"/>
      <c r="H41" s="25"/>
      <c r="I41" s="25"/>
      <c r="J41" s="12"/>
      <c r="K41" s="1"/>
      <c r="L41" s="1"/>
    </row>
    <row r="42" spans="1:12" ht="16.5" customHeight="1">
      <c r="A42" s="10"/>
      <c r="B42" s="53" t="s">
        <v>68</v>
      </c>
      <c r="C42" s="54"/>
      <c r="D42" s="60" t="s">
        <v>69</v>
      </c>
      <c r="E42" s="54"/>
      <c r="F42" s="62" t="s">
        <v>70</v>
      </c>
      <c r="G42" s="56" t="s">
        <v>71</v>
      </c>
      <c r="H42" s="62" t="s">
        <v>72</v>
      </c>
      <c r="I42" s="56" t="s">
        <v>73</v>
      </c>
      <c r="J42" s="12"/>
      <c r="K42" s="1"/>
      <c r="L42" s="1"/>
    </row>
    <row r="43" spans="1:12" ht="16.5" customHeight="1" thickBot="1">
      <c r="A43" s="10"/>
      <c r="B43" s="12"/>
      <c r="C43" s="10"/>
      <c r="D43" s="61" t="s">
        <v>21</v>
      </c>
      <c r="E43" s="20" t="s">
        <v>21</v>
      </c>
      <c r="F43" s="61"/>
      <c r="G43" s="22" t="s">
        <v>21</v>
      </c>
      <c r="H43" s="66" t="s">
        <v>74</v>
      </c>
      <c r="I43" s="22" t="s">
        <v>21</v>
      </c>
      <c r="J43" s="12"/>
      <c r="K43" s="1"/>
      <c r="L43" s="1"/>
    </row>
    <row r="44" spans="1:12" ht="16.5" customHeight="1">
      <c r="A44" s="10"/>
      <c r="B44" s="55" t="s">
        <v>75</v>
      </c>
      <c r="C44" s="54"/>
      <c r="D44" s="82">
        <v>0</v>
      </c>
      <c r="E44" s="83">
        <v>1.7</v>
      </c>
      <c r="F44" s="82"/>
      <c r="G44" s="57">
        <f aca="true" t="shared" si="16" ref="G44:G58">IF(F44="","",ROUND(E44-D44,2))</f>
      </c>
      <c r="H44" s="82"/>
      <c r="I44" s="57">
        <f aca="true" t="shared" si="17" ref="I44:I58">IF(H44="","",ROUND(E44-D44,2))</f>
      </c>
      <c r="J44" s="12"/>
      <c r="K44" s="1"/>
      <c r="L44" s="1"/>
    </row>
    <row r="45" spans="1:12" ht="16.5" customHeight="1">
      <c r="A45" s="10"/>
      <c r="B45" s="16" t="s">
        <v>76</v>
      </c>
      <c r="C45" s="15"/>
      <c r="D45" s="84">
        <v>1.7</v>
      </c>
      <c r="E45" s="85">
        <v>3.3</v>
      </c>
      <c r="F45" s="84"/>
      <c r="G45" s="23">
        <f t="shared" si="16"/>
      </c>
      <c r="H45" s="84"/>
      <c r="I45" s="23">
        <f t="shared" si="17"/>
      </c>
      <c r="J45" s="12"/>
      <c r="K45" s="1"/>
      <c r="L45" s="1"/>
    </row>
    <row r="46" spans="1:12" ht="16.5" customHeight="1">
      <c r="A46" s="10"/>
      <c r="B46" s="16" t="s">
        <v>77</v>
      </c>
      <c r="C46" s="15"/>
      <c r="D46" s="84">
        <v>3.3</v>
      </c>
      <c r="E46" s="85">
        <v>8</v>
      </c>
      <c r="F46" s="84">
        <v>25</v>
      </c>
      <c r="G46" s="23">
        <f t="shared" si="16"/>
        <v>4.7</v>
      </c>
      <c r="H46" s="84"/>
      <c r="I46" s="23">
        <f t="shared" si="17"/>
      </c>
      <c r="J46" s="12"/>
      <c r="K46" s="1"/>
      <c r="L46" s="1"/>
    </row>
    <row r="47" spans="1:12" ht="16.5" customHeight="1">
      <c r="A47" s="10"/>
      <c r="B47" s="16" t="s">
        <v>78</v>
      </c>
      <c r="C47" s="15"/>
      <c r="D47" s="84"/>
      <c r="E47" s="85"/>
      <c r="F47" s="84"/>
      <c r="G47" s="23">
        <f t="shared" si="16"/>
      </c>
      <c r="H47" s="84"/>
      <c r="I47" s="23">
        <f t="shared" si="17"/>
      </c>
      <c r="J47" s="12"/>
      <c r="K47" s="1"/>
      <c r="L47" s="1"/>
    </row>
    <row r="48" spans="1:12" ht="16.5" customHeight="1">
      <c r="A48" s="10"/>
      <c r="B48" s="16" t="s">
        <v>79</v>
      </c>
      <c r="C48" s="15"/>
      <c r="D48" s="84"/>
      <c r="E48" s="85"/>
      <c r="F48" s="84"/>
      <c r="G48" s="23">
        <f t="shared" si="16"/>
      </c>
      <c r="H48" s="84"/>
      <c r="I48" s="23">
        <f t="shared" si="17"/>
      </c>
      <c r="J48" s="12"/>
      <c r="K48" s="1"/>
      <c r="L48" s="1"/>
    </row>
    <row r="49" spans="1:12" ht="16.5" customHeight="1">
      <c r="A49" s="10"/>
      <c r="B49" s="16" t="s">
        <v>80</v>
      </c>
      <c r="C49" s="15"/>
      <c r="D49" s="84"/>
      <c r="E49" s="85"/>
      <c r="F49" s="84"/>
      <c r="G49" s="23">
        <f t="shared" si="16"/>
      </c>
      <c r="H49" s="84"/>
      <c r="I49" s="23">
        <f t="shared" si="17"/>
      </c>
      <c r="J49" s="12"/>
      <c r="K49" s="1"/>
      <c r="L49" s="1"/>
    </row>
    <row r="50" spans="1:12" ht="16.5" customHeight="1">
      <c r="A50" s="10"/>
      <c r="B50" s="16" t="s">
        <v>81</v>
      </c>
      <c r="C50" s="15"/>
      <c r="D50" s="84"/>
      <c r="E50" s="85"/>
      <c r="F50" s="84"/>
      <c r="G50" s="23">
        <f t="shared" si="16"/>
      </c>
      <c r="H50" s="84"/>
      <c r="I50" s="23">
        <f t="shared" si="17"/>
      </c>
      <c r="J50" s="12"/>
      <c r="K50" s="1"/>
      <c r="L50" s="1"/>
    </row>
    <row r="51" spans="1:12" ht="16.5" customHeight="1">
      <c r="A51" s="10"/>
      <c r="B51" s="16" t="s">
        <v>82</v>
      </c>
      <c r="C51" s="15"/>
      <c r="D51" s="84"/>
      <c r="E51" s="85"/>
      <c r="F51" s="84"/>
      <c r="G51" s="23">
        <f t="shared" si="16"/>
      </c>
      <c r="H51" s="84"/>
      <c r="I51" s="23">
        <f t="shared" si="17"/>
      </c>
      <c r="J51" s="12"/>
      <c r="K51" s="1"/>
      <c r="L51" s="1"/>
    </row>
    <row r="52" spans="1:12" ht="16.5" customHeight="1">
      <c r="A52" s="10"/>
      <c r="B52" s="16" t="s">
        <v>83</v>
      </c>
      <c r="C52" s="15"/>
      <c r="D52" s="84"/>
      <c r="E52" s="85"/>
      <c r="F52" s="84"/>
      <c r="G52" s="23">
        <f t="shared" si="16"/>
      </c>
      <c r="H52" s="84"/>
      <c r="I52" s="23">
        <f t="shared" si="17"/>
      </c>
      <c r="J52" s="12"/>
      <c r="K52" s="1"/>
      <c r="L52" s="1"/>
    </row>
    <row r="53" spans="1:12" ht="16.5" customHeight="1">
      <c r="A53" s="10"/>
      <c r="B53" s="16" t="s">
        <v>84</v>
      </c>
      <c r="C53" s="15"/>
      <c r="D53" s="84"/>
      <c r="E53" s="85"/>
      <c r="F53" s="84"/>
      <c r="G53" s="23">
        <f t="shared" si="16"/>
      </c>
      <c r="H53" s="84"/>
      <c r="I53" s="23">
        <f t="shared" si="17"/>
      </c>
      <c r="J53" s="12"/>
      <c r="K53" s="1"/>
      <c r="L53" s="1"/>
    </row>
    <row r="54" spans="1:12" ht="16.5" customHeight="1">
      <c r="A54" s="10"/>
      <c r="B54" s="16" t="s">
        <v>85</v>
      </c>
      <c r="C54" s="15"/>
      <c r="D54" s="84"/>
      <c r="E54" s="85"/>
      <c r="F54" s="84"/>
      <c r="G54" s="23">
        <f t="shared" si="16"/>
      </c>
      <c r="H54" s="84"/>
      <c r="I54" s="23">
        <f t="shared" si="17"/>
      </c>
      <c r="J54" s="12"/>
      <c r="K54" s="1"/>
      <c r="L54" s="1"/>
    </row>
    <row r="55" spans="1:12" ht="16.5" customHeight="1">
      <c r="A55" s="10"/>
      <c r="B55" s="16" t="s">
        <v>86</v>
      </c>
      <c r="C55" s="15"/>
      <c r="D55" s="84"/>
      <c r="E55" s="85"/>
      <c r="F55" s="84"/>
      <c r="G55" s="23">
        <f t="shared" si="16"/>
      </c>
      <c r="H55" s="84"/>
      <c r="I55" s="23">
        <f t="shared" si="17"/>
      </c>
      <c r="J55" s="12"/>
      <c r="K55" s="1"/>
      <c r="L55" s="1"/>
    </row>
    <row r="56" spans="1:12" ht="16.5" customHeight="1">
      <c r="A56" s="10"/>
      <c r="B56" s="16" t="s">
        <v>87</v>
      </c>
      <c r="C56" s="15"/>
      <c r="D56" s="84"/>
      <c r="E56" s="85"/>
      <c r="F56" s="84"/>
      <c r="G56" s="23">
        <f t="shared" si="16"/>
      </c>
      <c r="H56" s="84"/>
      <c r="I56" s="23">
        <f t="shared" si="17"/>
      </c>
      <c r="J56" s="12"/>
      <c r="K56" s="1"/>
      <c r="L56" s="1"/>
    </row>
    <row r="57" spans="1:12" ht="16.5" customHeight="1">
      <c r="A57" s="10"/>
      <c r="B57" s="16" t="s">
        <v>88</v>
      </c>
      <c r="C57" s="15"/>
      <c r="D57" s="84"/>
      <c r="E57" s="85"/>
      <c r="F57" s="84"/>
      <c r="G57" s="23">
        <f t="shared" si="16"/>
      </c>
      <c r="H57" s="84"/>
      <c r="I57" s="23">
        <f t="shared" si="17"/>
      </c>
      <c r="J57" s="12"/>
      <c r="K57" s="1"/>
      <c r="L57" s="1"/>
    </row>
    <row r="58" spans="1:12" ht="16.5" customHeight="1" thickBot="1">
      <c r="A58" s="10"/>
      <c r="B58" s="16" t="s">
        <v>89</v>
      </c>
      <c r="C58" s="15"/>
      <c r="D58" s="84"/>
      <c r="E58" s="85"/>
      <c r="F58" s="84"/>
      <c r="G58" s="23">
        <f t="shared" si="16"/>
      </c>
      <c r="H58" s="84"/>
      <c r="I58" s="23">
        <f t="shared" si="17"/>
      </c>
      <c r="J58" s="12"/>
      <c r="K58" s="1"/>
      <c r="L58" s="1"/>
    </row>
    <row r="59" spans="1:12" ht="16.5" customHeight="1" thickBot="1">
      <c r="A59" s="10"/>
      <c r="B59" s="53" t="s">
        <v>90</v>
      </c>
      <c r="C59" s="54"/>
      <c r="D59" s="58"/>
      <c r="E59" s="58"/>
      <c r="F59" s="63">
        <f>IF(H39=2,"",ROUND(SUMPRODUCT(F44:F58,G44:G58),2))</f>
        <v>117.5</v>
      </c>
      <c r="G59" s="63">
        <f>IF(H39=2,"",ROUND(SUM(G44:G58),2))</f>
        <v>4.7</v>
      </c>
      <c r="H59" s="63">
        <f>IF(H39=2,0,ROUND(SUMPRODUCT(H44:H58,I44:I58),2))</f>
        <v>0</v>
      </c>
      <c r="I59" s="63">
        <f>IF(H39=2,"",ROUND(SUM(I44:I58),2))</f>
        <v>0</v>
      </c>
      <c r="J59" s="12"/>
      <c r="K59" s="1"/>
      <c r="L59" s="1"/>
    </row>
    <row r="60" spans="1:12" ht="16.5" customHeight="1" thickBot="1">
      <c r="A60" s="10"/>
      <c r="B60" s="53" t="s">
        <v>91</v>
      </c>
      <c r="C60" s="54"/>
      <c r="D60" s="58"/>
      <c r="E60" s="58"/>
      <c r="F60" s="64">
        <f>IF(F59="","",ROUND(F59/G59,2))</f>
        <v>25</v>
      </c>
      <c r="G60" s="64"/>
      <c r="H60" s="64">
        <f>IF(H59=0,0,ROUND(H59/I59,2))</f>
        <v>0</v>
      </c>
      <c r="I60" s="64"/>
      <c r="J60" s="12"/>
      <c r="K60" s="1"/>
      <c r="L60" s="1"/>
    </row>
    <row r="61" spans="1:12" ht="15" thickBot="1">
      <c r="A61" s="10"/>
      <c r="B61" s="53" t="s">
        <v>92</v>
      </c>
      <c r="C61" s="54"/>
      <c r="D61" s="54"/>
      <c r="E61" s="54"/>
      <c r="F61" s="65">
        <f>IF(H39=2,"",ROUND(IF(F60&gt;=30,30,F60),2))</f>
        <v>25</v>
      </c>
      <c r="G61" s="65">
        <f>IF(H39=2,"",ROUND(G59,2))</f>
        <v>4.7</v>
      </c>
      <c r="H61" s="65">
        <f>IF(H39=2,"",ROUND(IF(H60&gt;=20,20,H60),2))</f>
        <v>0</v>
      </c>
      <c r="I61" s="65">
        <f>IF(H39=2,"",ROUND(I59,2))</f>
        <v>0</v>
      </c>
      <c r="J61" s="12"/>
      <c r="K61" s="1"/>
      <c r="L61" s="1"/>
    </row>
    <row r="62" spans="1:12" ht="15" thickTop="1">
      <c r="A62" s="26"/>
      <c r="B62" s="27"/>
      <c r="C62" s="27"/>
      <c r="D62" s="27"/>
      <c r="E62" s="27"/>
      <c r="F62" s="27"/>
      <c r="G62" s="27"/>
      <c r="H62" s="27"/>
      <c r="I62" s="27"/>
      <c r="J62" s="26"/>
      <c r="K62" s="26"/>
      <c r="L62" s="26"/>
    </row>
  </sheetData>
  <sheetProtection/>
  <printOptions horizontalCentered="1"/>
  <pageMargins left="0.5888888888888889" right="0.20069444444444445" top="0.39166666666666666" bottom="0.3138888888888889" header="0.512" footer="0.512"/>
  <pageSetup orientation="portrait" paperSize="9" scale="73" r:id="rId2"/>
  <rowBreaks count="1" manualBreakCount="1">
    <brk id="62" max="65535" man="1"/>
  </rowBreaks>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L80"/>
  <sheetViews>
    <sheetView showOutlineSymbols="0" zoomScale="55" zoomScaleNormal="55" zoomScalePageLayoutView="0" workbookViewId="0" topLeftCell="A31">
      <selection activeCell="M20" sqref="M20"/>
    </sheetView>
  </sheetViews>
  <sheetFormatPr defaultColWidth="10.75390625" defaultRowHeight="15.75"/>
  <cols>
    <col min="1" max="1" width="20.00390625" style="2" customWidth="1"/>
    <col min="2" max="2" width="19.125" style="2" customWidth="1"/>
    <col min="3" max="11" width="8.75390625" style="2" customWidth="1"/>
    <col min="12" max="12" width="5.75390625" style="2" customWidth="1"/>
    <col min="13" max="16384" width="10.75390625" style="2" customWidth="1"/>
  </cols>
  <sheetData>
    <row r="1" spans="1:12" ht="14.25">
      <c r="A1" s="1"/>
      <c r="B1" s="1"/>
      <c r="C1" s="1"/>
      <c r="D1" s="1"/>
      <c r="E1" s="1"/>
      <c r="F1" s="1"/>
      <c r="G1" s="1"/>
      <c r="H1" s="1"/>
      <c r="I1" s="1"/>
      <c r="J1" s="1"/>
      <c r="K1" s="1"/>
      <c r="L1" s="1"/>
    </row>
    <row r="2" spans="1:12" ht="27.75" customHeight="1">
      <c r="A2" s="3" t="s">
        <v>0</v>
      </c>
      <c r="B2" s="4"/>
      <c r="C2" s="5"/>
      <c r="D2" s="3"/>
      <c r="E2" s="4"/>
      <c r="F2" s="4"/>
      <c r="G2" s="6" t="s">
        <v>1</v>
      </c>
      <c r="H2" s="7" t="str">
        <f>IF(C21=1,"回転根固め杭工法の計算","")</f>
        <v>回転根固め杭工法の計算</v>
      </c>
      <c r="I2" s="8"/>
      <c r="J2" s="8"/>
      <c r="K2" s="8"/>
      <c r="L2" s="9"/>
    </row>
    <row r="3" spans="1:12" ht="16.5" customHeight="1">
      <c r="A3" s="4"/>
      <c r="B3" s="4" t="s">
        <v>2</v>
      </c>
      <c r="C3" s="4"/>
      <c r="D3" s="4"/>
      <c r="E3" s="4"/>
      <c r="F3" s="4"/>
      <c r="G3" s="4"/>
      <c r="H3" s="4"/>
      <c r="I3" s="4"/>
      <c r="J3" s="4"/>
      <c r="K3" s="4"/>
      <c r="L3" s="1"/>
    </row>
    <row r="4" spans="1:12" ht="16.5" customHeight="1">
      <c r="A4" s="10"/>
      <c r="B4" s="10" t="s">
        <v>3</v>
      </c>
      <c r="C4" s="10"/>
      <c r="D4" s="10"/>
      <c r="E4" s="10"/>
      <c r="F4" s="10"/>
      <c r="G4" s="10"/>
      <c r="H4" s="10"/>
      <c r="I4" s="10"/>
      <c r="J4" s="10"/>
      <c r="K4" s="10"/>
      <c r="L4" s="1"/>
    </row>
    <row r="5" spans="1:12" ht="16.5" customHeight="1" thickBot="1" thickTop="1">
      <c r="A5" s="10"/>
      <c r="B5" s="11" t="s">
        <v>93</v>
      </c>
      <c r="C5" s="4"/>
      <c r="D5" s="4"/>
      <c r="E5" s="4"/>
      <c r="F5" s="12" t="s">
        <v>6</v>
      </c>
      <c r="G5" s="13" t="s">
        <v>7</v>
      </c>
      <c r="H5" s="10"/>
      <c r="I5" s="10"/>
      <c r="J5" s="10"/>
      <c r="K5" s="10"/>
      <c r="L5" s="1"/>
    </row>
    <row r="6" spans="1:12" ht="16.5" customHeight="1" thickBot="1">
      <c r="A6" s="10"/>
      <c r="B6" s="31" t="s">
        <v>8</v>
      </c>
      <c r="C6" s="76" t="s">
        <v>9</v>
      </c>
      <c r="D6" s="76" t="s">
        <v>94</v>
      </c>
      <c r="E6" s="75" t="s">
        <v>11</v>
      </c>
      <c r="F6" s="12"/>
      <c r="G6" s="10" t="s">
        <v>12</v>
      </c>
      <c r="H6" s="10"/>
      <c r="I6" s="10"/>
      <c r="J6" s="10"/>
      <c r="K6" s="10"/>
      <c r="L6" s="1"/>
    </row>
    <row r="7" spans="1:12" ht="16.5" customHeight="1" thickBot="1">
      <c r="A7" s="10"/>
      <c r="B7" s="31" t="s">
        <v>1</v>
      </c>
      <c r="C7" s="70" t="s">
        <v>13</v>
      </c>
      <c r="D7" s="33"/>
      <c r="E7" s="70"/>
      <c r="F7" s="12"/>
      <c r="G7" s="10" t="s">
        <v>14</v>
      </c>
      <c r="H7" s="10"/>
      <c r="I7" s="10"/>
      <c r="J7" s="10"/>
      <c r="K7" s="10"/>
      <c r="L7" s="1"/>
    </row>
    <row r="8" spans="1:12" ht="16.5" customHeight="1" thickBot="1">
      <c r="A8" s="10"/>
      <c r="B8" s="31" t="s">
        <v>95</v>
      </c>
      <c r="C8" s="142">
        <v>1</v>
      </c>
      <c r="D8" s="163" t="str">
        <f>IF(C8=1,"径別Ｎ値採用する","同一Ｎ値採用する")</f>
        <v>径別Ｎ値採用する</v>
      </c>
      <c r="E8" s="162"/>
      <c r="F8" s="12"/>
      <c r="G8" s="10" t="s">
        <v>15</v>
      </c>
      <c r="H8" s="10"/>
      <c r="I8" s="10"/>
      <c r="J8" s="10"/>
      <c r="K8" s="10"/>
      <c r="L8" s="1"/>
    </row>
    <row r="9" spans="1:12" ht="16.5" customHeight="1" thickBot="1">
      <c r="A9" s="10"/>
      <c r="B9" s="31" t="s">
        <v>96</v>
      </c>
      <c r="C9" s="33"/>
      <c r="D9" s="143"/>
      <c r="E9" s="70"/>
      <c r="F9" s="12"/>
      <c r="G9" s="10" t="s">
        <v>125</v>
      </c>
      <c r="H9" s="10"/>
      <c r="I9" s="10"/>
      <c r="J9" s="10"/>
      <c r="K9" s="10"/>
      <c r="L9" s="1"/>
    </row>
    <row r="10" spans="1:12" ht="16.5" customHeight="1">
      <c r="A10" s="10"/>
      <c r="B10" s="31" t="s">
        <v>18</v>
      </c>
      <c r="C10" s="70" t="s">
        <v>124</v>
      </c>
      <c r="D10" s="68">
        <f>IF(F62="","",ROUND(F62,2))</f>
        <v>0</v>
      </c>
      <c r="E10" s="164" t="s">
        <v>19</v>
      </c>
      <c r="F10" s="12"/>
      <c r="G10" s="10" t="s">
        <v>126</v>
      </c>
      <c r="H10" s="10"/>
      <c r="I10" s="10"/>
      <c r="J10" s="10"/>
      <c r="K10" s="10"/>
      <c r="L10" s="1"/>
    </row>
    <row r="11" spans="1:12" ht="16.5" customHeight="1" thickBot="1">
      <c r="A11" s="10"/>
      <c r="B11" s="14" t="s">
        <v>20</v>
      </c>
      <c r="C11" s="66" t="s">
        <v>21</v>
      </c>
      <c r="D11" s="17">
        <f>IF(G62="","",ROUND(G62,2))</f>
        <v>0</v>
      </c>
      <c r="E11" s="73"/>
      <c r="F11" s="12"/>
      <c r="G11" s="10" t="s">
        <v>22</v>
      </c>
      <c r="H11" s="10"/>
      <c r="I11" s="10"/>
      <c r="J11" s="10"/>
      <c r="K11" s="10"/>
      <c r="L11" s="1"/>
    </row>
    <row r="12" spans="1:12" ht="16.5" customHeight="1">
      <c r="A12" s="10"/>
      <c r="B12" s="31" t="s">
        <v>23</v>
      </c>
      <c r="C12" s="70" t="s">
        <v>124</v>
      </c>
      <c r="D12" s="68">
        <f>IF(H62="","",ROUND(H62,2))</f>
        <v>0</v>
      </c>
      <c r="E12" s="164" t="s">
        <v>19</v>
      </c>
      <c r="F12" s="12"/>
      <c r="G12" s="10" t="s">
        <v>24</v>
      </c>
      <c r="H12" s="10"/>
      <c r="I12" s="10"/>
      <c r="J12" s="10"/>
      <c r="K12" s="10"/>
      <c r="L12" s="1"/>
    </row>
    <row r="13" spans="1:12" ht="16.5" customHeight="1" thickBot="1">
      <c r="A13" s="10"/>
      <c r="B13" s="14" t="s">
        <v>25</v>
      </c>
      <c r="C13" s="66" t="s">
        <v>21</v>
      </c>
      <c r="D13" s="17">
        <f>IF(I62="","",ROUND(I62,2))</f>
        <v>0</v>
      </c>
      <c r="E13" s="73"/>
      <c r="F13" s="12"/>
      <c r="G13" s="10" t="s">
        <v>26</v>
      </c>
      <c r="H13" s="10"/>
      <c r="I13" s="10"/>
      <c r="J13" s="10"/>
      <c r="K13" s="10"/>
      <c r="L13" s="1"/>
    </row>
    <row r="14" spans="1:12" ht="16.5" customHeight="1" thickBot="1">
      <c r="A14" s="10"/>
      <c r="B14" s="31" t="s">
        <v>27</v>
      </c>
      <c r="C14" s="141" t="s">
        <v>28</v>
      </c>
      <c r="D14" s="77">
        <v>30</v>
      </c>
      <c r="E14" s="140"/>
      <c r="F14" s="12"/>
      <c r="G14" s="10" t="s">
        <v>29</v>
      </c>
      <c r="H14" s="10"/>
      <c r="I14" s="10"/>
      <c r="J14" s="10"/>
      <c r="K14" s="10"/>
      <c r="L14" s="1"/>
    </row>
    <row r="15" spans="1:12" ht="16.5" customHeight="1" thickTop="1">
      <c r="A15" s="10"/>
      <c r="B15" s="4"/>
      <c r="C15" s="4"/>
      <c r="D15" s="4"/>
      <c r="E15" s="4"/>
      <c r="F15" s="10"/>
      <c r="G15" s="10" t="s">
        <v>30</v>
      </c>
      <c r="H15" s="10"/>
      <c r="I15" s="10"/>
      <c r="J15" s="10"/>
      <c r="K15" s="10"/>
      <c r="L15" s="1"/>
    </row>
    <row r="16" spans="1:12" ht="16.5" customHeight="1" thickBot="1">
      <c r="A16" s="10"/>
      <c r="B16" s="10"/>
      <c r="C16" s="10"/>
      <c r="D16" s="10"/>
      <c r="E16" s="10"/>
      <c r="F16" s="10"/>
      <c r="G16" s="10"/>
      <c r="H16" s="10"/>
      <c r="I16" s="10"/>
      <c r="J16" s="10"/>
      <c r="K16" s="10"/>
      <c r="L16" s="1"/>
    </row>
    <row r="17" spans="1:12" ht="16.5" customHeight="1" thickBot="1" thickTop="1">
      <c r="A17" s="138" t="s">
        <v>31</v>
      </c>
      <c r="B17" s="139" t="s">
        <v>32</v>
      </c>
      <c r="C17" s="144">
        <v>400</v>
      </c>
      <c r="D17" s="145"/>
      <c r="E17" s="145"/>
      <c r="F17" s="145"/>
      <c r="G17" s="145"/>
      <c r="H17" s="145"/>
      <c r="I17" s="145"/>
      <c r="J17" s="145"/>
      <c r="K17" s="146"/>
      <c r="L17" s="9"/>
    </row>
    <row r="18" spans="1:12" ht="16.5" customHeight="1" thickBot="1">
      <c r="A18" s="28" t="s">
        <v>33</v>
      </c>
      <c r="B18" s="29" t="s">
        <v>127</v>
      </c>
      <c r="C18" s="39" t="e">
        <f>#VALUE!</f>
        <v>#VALUE!</v>
      </c>
      <c r="D18" s="30" t="e">
        <f>#VALUE!</f>
        <v>#VALUE!</v>
      </c>
      <c r="E18" s="30" t="e">
        <f>#VALUE!</f>
        <v>#VALUE!</v>
      </c>
      <c r="F18" s="30" t="e">
        <f>#VALUE!</f>
        <v>#VALUE!</v>
      </c>
      <c r="G18" s="30" t="e">
        <f>#VALUE!</f>
        <v>#VALUE!</v>
      </c>
      <c r="H18" s="30" t="e">
        <f>#VALUE!</f>
        <v>#VALUE!</v>
      </c>
      <c r="I18" s="30" t="e">
        <f>#VALUE!</f>
        <v>#VALUE!</v>
      </c>
      <c r="J18" s="30" t="e">
        <f>#VALUE!</f>
        <v>#VALUE!</v>
      </c>
      <c r="K18" s="137" t="e">
        <f>#VALUE!</f>
        <v>#VALUE!</v>
      </c>
      <c r="L18" s="9"/>
    </row>
    <row r="19" spans="1:12" ht="16.5" customHeight="1">
      <c r="A19" s="31" t="s">
        <v>33</v>
      </c>
      <c r="B19" s="32" t="s">
        <v>128</v>
      </c>
      <c r="C19" s="40">
        <f aca="true" t="shared" si="0" ref="C19:K19">IF(C17="","",ROUND((C17/2000)^2*3.14,3))</f>
        <v>0.126</v>
      </c>
      <c r="D19" s="29">
        <f t="shared" si="0"/>
      </c>
      <c r="E19" s="29">
        <f t="shared" si="0"/>
      </c>
      <c r="F19" s="29">
        <f t="shared" si="0"/>
      </c>
      <c r="G19" s="29">
        <f t="shared" si="0"/>
      </c>
      <c r="H19" s="29">
        <f t="shared" si="0"/>
      </c>
      <c r="I19" s="29">
        <f t="shared" si="0"/>
      </c>
      <c r="J19" s="29">
        <f t="shared" si="0"/>
      </c>
      <c r="K19" s="136">
        <f t="shared" si="0"/>
      </c>
      <c r="L19" s="9"/>
    </row>
    <row r="20" spans="1:12" ht="16.5" customHeight="1" thickBot="1">
      <c r="A20" s="14" t="s">
        <v>34</v>
      </c>
      <c r="B20" s="20" t="s">
        <v>35</v>
      </c>
      <c r="C20" s="41">
        <f aca="true" t="shared" si="1" ref="C20:K20">IF(C17="","",ROUND((C17/1000)*3.14,3))</f>
        <v>1.256</v>
      </c>
      <c r="D20" s="21">
        <f t="shared" si="1"/>
      </c>
      <c r="E20" s="21">
        <f t="shared" si="1"/>
      </c>
      <c r="F20" s="21">
        <f t="shared" si="1"/>
      </c>
      <c r="G20" s="21">
        <f t="shared" si="1"/>
      </c>
      <c r="H20" s="21">
        <f t="shared" si="1"/>
      </c>
      <c r="I20" s="21">
        <f t="shared" si="1"/>
      </c>
      <c r="J20" s="21">
        <f t="shared" si="1"/>
      </c>
      <c r="K20" s="21">
        <f t="shared" si="1"/>
      </c>
      <c r="L20" s="9"/>
    </row>
    <row r="21" spans="1:12" ht="16.5" customHeight="1">
      <c r="A21" s="31" t="s">
        <v>36</v>
      </c>
      <c r="B21" s="33"/>
      <c r="C21" s="80">
        <v>1</v>
      </c>
      <c r="D21" s="77"/>
      <c r="E21" s="77"/>
      <c r="F21" s="77"/>
      <c r="G21" s="77"/>
      <c r="H21" s="77"/>
      <c r="I21" s="77"/>
      <c r="J21" s="77"/>
      <c r="K21" s="147"/>
      <c r="L21" s="9"/>
    </row>
    <row r="22" spans="1:12" ht="16.5" customHeight="1" thickBot="1">
      <c r="A22" s="12"/>
      <c r="B22" s="10"/>
      <c r="C22" s="165" t="str">
        <f aca="true" t="shared" si="2" ref="C22:K22">IF(C21="","",IF(C21=1,"根固め杭","エラー"))</f>
        <v>根固め杭</v>
      </c>
      <c r="D22" s="22">
        <f t="shared" si="2"/>
      </c>
      <c r="E22" s="22">
        <f t="shared" si="2"/>
      </c>
      <c r="F22" s="22">
        <f t="shared" si="2"/>
      </c>
      <c r="G22" s="22">
        <f t="shared" si="2"/>
      </c>
      <c r="H22" s="22">
        <f t="shared" si="2"/>
      </c>
      <c r="I22" s="22">
        <f t="shared" si="2"/>
      </c>
      <c r="J22" s="22">
        <f t="shared" si="2"/>
      </c>
      <c r="K22" s="22">
        <f t="shared" si="2"/>
      </c>
      <c r="L22" s="9"/>
    </row>
    <row r="23" spans="1:12" ht="16.5" customHeight="1">
      <c r="A23" s="31" t="s">
        <v>37</v>
      </c>
      <c r="B23" s="32" t="s">
        <v>38</v>
      </c>
      <c r="C23" s="43">
        <f aca="true" t="shared" si="3" ref="C23:K23">IF(C21="","",IF(C21=1,25,"エラー"))</f>
        <v>25</v>
      </c>
      <c r="D23" s="34">
        <f t="shared" si="3"/>
      </c>
      <c r="E23" s="34">
        <f t="shared" si="3"/>
      </c>
      <c r="F23" s="34">
        <f t="shared" si="3"/>
      </c>
      <c r="G23" s="34">
        <f t="shared" si="3"/>
      </c>
      <c r="H23" s="34">
        <f t="shared" si="3"/>
      </c>
      <c r="I23" s="34">
        <f t="shared" si="3"/>
      </c>
      <c r="J23" s="34">
        <f t="shared" si="3"/>
      </c>
      <c r="K23" s="135">
        <f t="shared" si="3"/>
      </c>
      <c r="L23" s="9"/>
    </row>
    <row r="24" spans="1:12" ht="16.5" customHeight="1" thickBot="1">
      <c r="A24" s="14" t="s">
        <v>97</v>
      </c>
      <c r="B24" s="86" t="str">
        <f>IF(C8=1,"径別Ｎ値採用","同一Ｎ値採用")</f>
        <v>径別Ｎ値採用</v>
      </c>
      <c r="C24" s="42">
        <f>IF(C17="","",IF($C8=1,ROUND(C79,0),ROUND($D9,0)))</f>
        <v>33</v>
      </c>
      <c r="D24" s="119">
        <f aca="true" t="shared" si="4" ref="D24:K24">IF(D17="","",IF($C8=1,ROUND(D79,0),ROUND($D9,0)))</f>
      </c>
      <c r="E24" s="119">
        <f t="shared" si="4"/>
      </c>
      <c r="F24" s="119">
        <f t="shared" si="4"/>
      </c>
      <c r="G24" s="119">
        <f t="shared" si="4"/>
      </c>
      <c r="H24" s="119">
        <f t="shared" si="4"/>
      </c>
      <c r="I24" s="119">
        <f t="shared" si="4"/>
      </c>
      <c r="J24" s="119">
        <f t="shared" si="4"/>
      </c>
      <c r="K24" s="116">
        <f t="shared" si="4"/>
      </c>
      <c r="L24" s="9"/>
    </row>
    <row r="25" spans="1:12" ht="16.5" customHeight="1">
      <c r="A25" s="31" t="s">
        <v>39</v>
      </c>
      <c r="B25" s="32" t="s">
        <v>98</v>
      </c>
      <c r="C25" s="132">
        <f>IF(C23="","",ROUNDDOWN(C23*C24*C19/3,1))</f>
        <v>34.6</v>
      </c>
      <c r="D25" s="133">
        <f aca="true" t="shared" si="5" ref="D25:K25">IF(D23="","",ROUNDDOWN(D23*D24*D19/3,1))</f>
      </c>
      <c r="E25" s="133">
        <f t="shared" si="5"/>
      </c>
      <c r="F25" s="133">
        <f t="shared" si="5"/>
      </c>
      <c r="G25" s="133">
        <f t="shared" si="5"/>
      </c>
      <c r="H25" s="133">
        <f t="shared" si="5"/>
      </c>
      <c r="I25" s="133">
        <f t="shared" si="5"/>
      </c>
      <c r="J25" s="133">
        <f t="shared" si="5"/>
      </c>
      <c r="K25" s="134">
        <f t="shared" si="5"/>
      </c>
      <c r="L25" s="9"/>
    </row>
    <row r="26" spans="1:12" ht="16.5" customHeight="1">
      <c r="A26" s="14" t="s">
        <v>41</v>
      </c>
      <c r="B26" s="20" t="s">
        <v>42</v>
      </c>
      <c r="C26" s="45">
        <f>IF(C17="","",IF($D$10="",0,ROUND(($D$10/5)*$D$11*C20/3,1)))</f>
        <v>0</v>
      </c>
      <c r="D26" s="120">
        <f aca="true" t="shared" si="6" ref="D26:K26">IF(D17="","",IF($D$10="",0,ROUND(($D$10/5)*$D$11*D20/3,1)))</f>
      </c>
      <c r="E26" s="120">
        <f t="shared" si="6"/>
      </c>
      <c r="F26" s="120">
        <f t="shared" si="6"/>
      </c>
      <c r="G26" s="120">
        <f t="shared" si="6"/>
      </c>
      <c r="H26" s="120">
        <f t="shared" si="6"/>
      </c>
      <c r="I26" s="120">
        <f t="shared" si="6"/>
      </c>
      <c r="J26" s="120">
        <f t="shared" si="6"/>
      </c>
      <c r="K26" s="117">
        <f t="shared" si="6"/>
      </c>
      <c r="L26" s="9"/>
    </row>
    <row r="27" spans="1:12" ht="16.5" customHeight="1">
      <c r="A27" s="14" t="s">
        <v>43</v>
      </c>
      <c r="B27" s="20" t="s">
        <v>44</v>
      </c>
      <c r="C27" s="44">
        <f>IF(C17="","",IF($D$12="",0,ROUND(($D$12/2)*$D$13*C20/3,1)))</f>
        <v>0</v>
      </c>
      <c r="D27" s="121">
        <f aca="true" t="shared" si="7" ref="D27:K27">IF(D17="","",IF($D$12="",0,ROUND(($D$12/2)*$D$13*D20/3,1)))</f>
      </c>
      <c r="E27" s="121">
        <f t="shared" si="7"/>
      </c>
      <c r="F27" s="121">
        <f t="shared" si="7"/>
      </c>
      <c r="G27" s="121">
        <f t="shared" si="7"/>
      </c>
      <c r="H27" s="121">
        <f t="shared" si="7"/>
      </c>
      <c r="I27" s="121">
        <f t="shared" si="7"/>
      </c>
      <c r="J27" s="121">
        <f t="shared" si="7"/>
      </c>
      <c r="K27" s="15">
        <f t="shared" si="7"/>
      </c>
      <c r="L27" s="9"/>
    </row>
    <row r="28" spans="1:12" ht="16.5" customHeight="1" thickBot="1">
      <c r="A28" s="14" t="s">
        <v>45</v>
      </c>
      <c r="B28" s="20" t="s">
        <v>46</v>
      </c>
      <c r="C28" s="46">
        <f aca="true" t="shared" si="8" ref="C28:K28">IF(C25="","",ROUND(C25+C26+C27,1))</f>
        <v>34.6</v>
      </c>
      <c r="D28" s="122">
        <f t="shared" si="8"/>
      </c>
      <c r="E28" s="122">
        <f t="shared" si="8"/>
      </c>
      <c r="F28" s="122">
        <f t="shared" si="8"/>
      </c>
      <c r="G28" s="122">
        <f t="shared" si="8"/>
      </c>
      <c r="H28" s="122">
        <f t="shared" si="8"/>
      </c>
      <c r="I28" s="122">
        <f t="shared" si="8"/>
      </c>
      <c r="J28" s="122">
        <f t="shared" si="8"/>
      </c>
      <c r="K28" s="118">
        <f t="shared" si="8"/>
      </c>
      <c r="L28" s="9"/>
    </row>
    <row r="29" spans="1:12" ht="16.5" customHeight="1" thickBot="1">
      <c r="A29" s="31" t="s">
        <v>47</v>
      </c>
      <c r="B29" s="33"/>
      <c r="C29" s="47" t="str">
        <f>IF(C17="","",T($D6:$D6))</f>
        <v>c</v>
      </c>
      <c r="D29" s="130">
        <f aca="true" t="shared" si="9" ref="D29:K29">IF(D17="","",T($D6:$D6))</f>
      </c>
      <c r="E29" s="130">
        <f t="shared" si="9"/>
      </c>
      <c r="F29" s="130">
        <f t="shared" si="9"/>
      </c>
      <c r="G29" s="130">
        <f t="shared" si="9"/>
      </c>
      <c r="H29" s="130">
        <f t="shared" si="9"/>
      </c>
      <c r="I29" s="130">
        <f t="shared" si="9"/>
      </c>
      <c r="J29" s="130">
        <f t="shared" si="9"/>
      </c>
      <c r="K29" s="131">
        <f t="shared" si="9"/>
      </c>
      <c r="L29" s="9"/>
    </row>
    <row r="30" spans="1:12" ht="16.5" customHeight="1" thickBot="1">
      <c r="A30" s="31" t="s">
        <v>48</v>
      </c>
      <c r="B30" s="32" t="s">
        <v>49</v>
      </c>
      <c r="C30" s="48" t="e">
        <f>IF(OR(C29="",C18=""),"",IF(C29="A",ROUND((200-40)*C18*10^-3,2),IF(C29="B",ROUND((240-80)*C18*10^-3,2),IF(C29="c",ROUND((240-100)*C18*10^-3,2),"確認"))))</f>
        <v>#VALUE!</v>
      </c>
      <c r="D30" s="128" t="e">
        <f aca="true" t="shared" si="10" ref="D30:K30">IF(OR(D29="",D18=""),"",IF(D29="A",ROUND((200-40)*D18*10^-3,2),IF(D29="B",ROUND((240-80)*D18*10^-3,2),IF(D29="c",ROUND((240-100)*D18*10^-3,2),"確認"))))</f>
        <v>#VALUE!</v>
      </c>
      <c r="E30" s="128" t="e">
        <f t="shared" si="10"/>
        <v>#VALUE!</v>
      </c>
      <c r="F30" s="128" t="e">
        <f t="shared" si="10"/>
        <v>#VALUE!</v>
      </c>
      <c r="G30" s="128" t="e">
        <f t="shared" si="10"/>
        <v>#VALUE!</v>
      </c>
      <c r="H30" s="128" t="e">
        <f t="shared" si="10"/>
        <v>#VALUE!</v>
      </c>
      <c r="I30" s="128" t="e">
        <f t="shared" si="10"/>
        <v>#VALUE!</v>
      </c>
      <c r="J30" s="128" t="e">
        <f t="shared" si="10"/>
        <v>#VALUE!</v>
      </c>
      <c r="K30" s="129" t="e">
        <f t="shared" si="10"/>
        <v>#VALUE!</v>
      </c>
      <c r="L30" s="9"/>
    </row>
    <row r="31" spans="1:12" ht="16.5" customHeight="1">
      <c r="A31" s="31" t="s">
        <v>50</v>
      </c>
      <c r="B31" s="32" t="s">
        <v>51</v>
      </c>
      <c r="C31" s="43">
        <f>IF(C17="","",IF($D$14/(C17*10^-3)&lt;85,0,ROUND(((D14/(C17*10^-3))-85)/100,3)))</f>
        <v>0</v>
      </c>
      <c r="D31" s="126">
        <f aca="true" t="shared" si="11" ref="D31:K31">IF(D17="","",IF($D$14/(D17*10^-3)&lt;85,0,ROUND(((E14/(D17*10^-3))-85)/100,3)))</f>
      </c>
      <c r="E31" s="126">
        <f t="shared" si="11"/>
      </c>
      <c r="F31" s="126">
        <f t="shared" si="11"/>
      </c>
      <c r="G31" s="126">
        <f t="shared" si="11"/>
      </c>
      <c r="H31" s="126">
        <f t="shared" si="11"/>
      </c>
      <c r="I31" s="126">
        <f t="shared" si="11"/>
      </c>
      <c r="J31" s="126">
        <f t="shared" si="11"/>
      </c>
      <c r="K31" s="127">
        <f t="shared" si="11"/>
      </c>
      <c r="L31" s="9"/>
    </row>
    <row r="32" spans="1:12" ht="16.5" customHeight="1" thickBot="1">
      <c r="A32" s="14" t="s">
        <v>52</v>
      </c>
      <c r="B32" s="20" t="s">
        <v>53</v>
      </c>
      <c r="C32" s="42" t="str">
        <f>IF(C17="","",IF(($D$14/(C17*10^-3))&gt;110,"不可","OK"))</f>
        <v>OK</v>
      </c>
      <c r="D32" s="119">
        <f aca="true" t="shared" si="12" ref="D32:K32">IF(D17="","",IF(($D$14/(D17*10^-3))&gt;110,"不可","OK"))</f>
      </c>
      <c r="E32" s="119">
        <f t="shared" si="12"/>
      </c>
      <c r="F32" s="119">
        <f t="shared" si="12"/>
      </c>
      <c r="G32" s="119">
        <f t="shared" si="12"/>
      </c>
      <c r="H32" s="119">
        <f t="shared" si="12"/>
      </c>
      <c r="I32" s="119">
        <f t="shared" si="12"/>
      </c>
      <c r="J32" s="119">
        <f t="shared" si="12"/>
      </c>
      <c r="K32" s="116">
        <f t="shared" si="12"/>
      </c>
      <c r="L32" s="9"/>
    </row>
    <row r="33" spans="1:12" ht="16.5" customHeight="1" thickBot="1">
      <c r="A33" s="31" t="s">
        <v>54</v>
      </c>
      <c r="B33" s="32" t="s">
        <v>55</v>
      </c>
      <c r="C33" s="80"/>
      <c r="D33" s="148"/>
      <c r="E33" s="148"/>
      <c r="F33" s="148"/>
      <c r="G33" s="148"/>
      <c r="H33" s="148"/>
      <c r="I33" s="148"/>
      <c r="J33" s="148"/>
      <c r="K33" s="149"/>
      <c r="L33" s="9"/>
    </row>
    <row r="34" spans="1:12" ht="16.5" customHeight="1" thickBot="1">
      <c r="A34" s="31" t="s">
        <v>56</v>
      </c>
      <c r="B34" s="32" t="s">
        <v>57</v>
      </c>
      <c r="C34" s="43">
        <f>IF(C17="","",IF(C33="",0,ROUND(C33*0.05,2)))</f>
        <v>0</v>
      </c>
      <c r="D34" s="126">
        <f aca="true" t="shared" si="13" ref="D34:K34">IF(D17="","",IF(D33="",0,ROUND(D33*0.05,2)))</f>
      </c>
      <c r="E34" s="126">
        <f t="shared" si="13"/>
      </c>
      <c r="F34" s="126">
        <f t="shared" si="13"/>
      </c>
      <c r="G34" s="126">
        <f t="shared" si="13"/>
      </c>
      <c r="H34" s="126">
        <f t="shared" si="13"/>
      </c>
      <c r="I34" s="126">
        <f t="shared" si="13"/>
      </c>
      <c r="J34" s="126">
        <f t="shared" si="13"/>
      </c>
      <c r="K34" s="127">
        <f t="shared" si="13"/>
      </c>
      <c r="L34" s="9"/>
    </row>
    <row r="35" spans="1:12" ht="16.5" customHeight="1">
      <c r="A35" s="31" t="s">
        <v>58</v>
      </c>
      <c r="B35" s="32" t="s">
        <v>59</v>
      </c>
      <c r="C35" s="43">
        <f>IF(C17="","",TRUNC(C28))</f>
        <v>34</v>
      </c>
      <c r="D35" s="126">
        <f aca="true" t="shared" si="14" ref="D35:K35">IF(D17="","",TRUNC(D28))</f>
      </c>
      <c r="E35" s="126">
        <f t="shared" si="14"/>
      </c>
      <c r="F35" s="126">
        <f t="shared" si="14"/>
      </c>
      <c r="G35" s="126">
        <f t="shared" si="14"/>
      </c>
      <c r="H35" s="126">
        <f t="shared" si="14"/>
      </c>
      <c r="I35" s="126">
        <f t="shared" si="14"/>
      </c>
      <c r="J35" s="126">
        <f t="shared" si="14"/>
      </c>
      <c r="K35" s="127">
        <f t="shared" si="14"/>
      </c>
      <c r="L35" s="9"/>
    </row>
    <row r="36" spans="1:12" ht="16.5" customHeight="1" thickBot="1">
      <c r="A36" s="14" t="s">
        <v>60</v>
      </c>
      <c r="B36" s="20" t="s">
        <v>61</v>
      </c>
      <c r="C36" s="42" t="e">
        <f>IF(C17="","",TRUNC(ROUND(C30*(1-C31-C34),0)))</f>
        <v>#VALUE!</v>
      </c>
      <c r="D36" s="119">
        <f aca="true" t="shared" si="15" ref="D36:K36">IF(D17="","",TRUNC(ROUND(D30*(1-D31-D34),0)))</f>
      </c>
      <c r="E36" s="119">
        <f t="shared" si="15"/>
      </c>
      <c r="F36" s="119">
        <f t="shared" si="15"/>
      </c>
      <c r="G36" s="119">
        <f t="shared" si="15"/>
      </c>
      <c r="H36" s="119">
        <f t="shared" si="15"/>
      </c>
      <c r="I36" s="119">
        <f t="shared" si="15"/>
      </c>
      <c r="J36" s="119">
        <f t="shared" si="15"/>
      </c>
      <c r="K36" s="116">
        <f t="shared" si="15"/>
      </c>
      <c r="L36" s="9"/>
    </row>
    <row r="37" spans="1:12" ht="16.5" customHeight="1" thickBot="1">
      <c r="A37" s="28" t="s">
        <v>62</v>
      </c>
      <c r="B37" s="37"/>
      <c r="C37" s="49" t="e">
        <f>IF(C17="","",MIN(C35,C36))</f>
        <v>#VALUE!</v>
      </c>
      <c r="D37" s="124">
        <f aca="true" t="shared" si="16" ref="D37:K37">IF(D17="","",MIN(D35,D36))</f>
      </c>
      <c r="E37" s="124">
        <f t="shared" si="16"/>
      </c>
      <c r="F37" s="124">
        <f t="shared" si="16"/>
      </c>
      <c r="G37" s="124">
        <f t="shared" si="16"/>
      </c>
      <c r="H37" s="124">
        <f t="shared" si="16"/>
      </c>
      <c r="I37" s="124">
        <f t="shared" si="16"/>
      </c>
      <c r="J37" s="124">
        <f t="shared" si="16"/>
      </c>
      <c r="K37" s="125">
        <f t="shared" si="16"/>
      </c>
      <c r="L37" s="9"/>
    </row>
    <row r="38" spans="1:12" ht="16.5" customHeight="1" thickBot="1">
      <c r="A38" s="28" t="s">
        <v>63</v>
      </c>
      <c r="B38" s="37"/>
      <c r="C38" s="50" t="e">
        <f>IF(C17="","",ROUND(C37*10,0))</f>
        <v>#VALUE!</v>
      </c>
      <c r="D38" s="123">
        <f aca="true" t="shared" si="17" ref="D38:K38">IF(D17="","",ROUND(D37*10,0))</f>
      </c>
      <c r="E38" s="123">
        <f t="shared" si="17"/>
      </c>
      <c r="F38" s="123">
        <f t="shared" si="17"/>
      </c>
      <c r="G38" s="123">
        <f t="shared" si="17"/>
      </c>
      <c r="H38" s="123">
        <f t="shared" si="17"/>
      </c>
      <c r="I38" s="123">
        <f t="shared" si="17"/>
      </c>
      <c r="J38" s="123">
        <f t="shared" si="17"/>
      </c>
      <c r="K38" s="52">
        <f t="shared" si="17"/>
      </c>
      <c r="L38" s="51"/>
    </row>
    <row r="39" spans="1:12" ht="16.5" customHeight="1" thickBot="1" thickTop="1">
      <c r="A39" s="4"/>
      <c r="B39" s="4"/>
      <c r="C39" s="4"/>
      <c r="D39" s="4"/>
      <c r="E39" s="4"/>
      <c r="F39" s="4"/>
      <c r="G39" s="4"/>
      <c r="H39" s="4"/>
      <c r="I39" s="4"/>
      <c r="J39" s="4"/>
      <c r="K39" s="4"/>
      <c r="L39" s="1"/>
    </row>
    <row r="40" spans="1:12" ht="16.5" customHeight="1" thickBot="1" thickTop="1">
      <c r="A40" s="10"/>
      <c r="B40" s="11" t="s">
        <v>64</v>
      </c>
      <c r="C40" s="4"/>
      <c r="D40" s="4"/>
      <c r="E40" s="4"/>
      <c r="F40" s="4"/>
      <c r="G40" s="4"/>
      <c r="H40" s="81">
        <v>1</v>
      </c>
      <c r="I40" s="67" t="str">
        <f>IF(H40=1,"検討有","検討無")</f>
        <v>検討有</v>
      </c>
      <c r="J40" s="69"/>
      <c r="K40" s="87"/>
      <c r="L40" s="9"/>
    </row>
    <row r="41" spans="1:12" ht="16.5" customHeight="1">
      <c r="A41" s="10"/>
      <c r="B41" s="31" t="s">
        <v>65</v>
      </c>
      <c r="C41" s="33" t="s">
        <v>66</v>
      </c>
      <c r="D41" s="33"/>
      <c r="E41" s="33"/>
      <c r="F41" s="33"/>
      <c r="G41" s="33"/>
      <c r="H41" s="33"/>
      <c r="I41" s="104"/>
      <c r="J41" s="73"/>
      <c r="K41" s="1"/>
      <c r="L41" s="9"/>
    </row>
    <row r="42" spans="1:12" ht="16.5" customHeight="1" thickBot="1">
      <c r="A42" s="10"/>
      <c r="B42" s="12"/>
      <c r="C42" s="25" t="s">
        <v>67</v>
      </c>
      <c r="D42" s="25"/>
      <c r="E42" s="25"/>
      <c r="F42" s="25"/>
      <c r="G42" s="25"/>
      <c r="H42" s="25"/>
      <c r="I42" s="25"/>
      <c r="J42" s="73"/>
      <c r="K42" s="1"/>
      <c r="L42" s="9"/>
    </row>
    <row r="43" spans="1:12" ht="16.5" customHeight="1">
      <c r="A43" s="10"/>
      <c r="B43" s="31" t="s">
        <v>68</v>
      </c>
      <c r="C43" s="33"/>
      <c r="D43" s="70" t="s">
        <v>69</v>
      </c>
      <c r="E43" s="33"/>
      <c r="F43" s="75" t="s">
        <v>70</v>
      </c>
      <c r="G43" s="34" t="s">
        <v>71</v>
      </c>
      <c r="H43" s="75" t="s">
        <v>72</v>
      </c>
      <c r="I43" s="105" t="s">
        <v>73</v>
      </c>
      <c r="J43" s="73"/>
      <c r="K43" s="1"/>
      <c r="L43" s="9"/>
    </row>
    <row r="44" spans="1:12" ht="16.5" customHeight="1" thickBot="1">
      <c r="A44" s="88"/>
      <c r="B44" s="12"/>
      <c r="C44" s="10"/>
      <c r="D44" s="61" t="s">
        <v>21</v>
      </c>
      <c r="E44" s="20" t="s">
        <v>21</v>
      </c>
      <c r="F44" s="61"/>
      <c r="G44" s="22" t="s">
        <v>21</v>
      </c>
      <c r="H44" s="66" t="s">
        <v>74</v>
      </c>
      <c r="I44" s="22" t="s">
        <v>21</v>
      </c>
      <c r="J44" s="103" t="s">
        <v>99</v>
      </c>
      <c r="K44" s="1"/>
      <c r="L44" s="9"/>
    </row>
    <row r="45" spans="1:12" ht="16.5" customHeight="1">
      <c r="A45" s="10"/>
      <c r="B45" s="106" t="s">
        <v>75</v>
      </c>
      <c r="C45" s="33"/>
      <c r="D45" s="150"/>
      <c r="E45" s="151"/>
      <c r="F45" s="150"/>
      <c r="G45" s="107">
        <f aca="true" t="shared" si="18" ref="G45:G59">IF(F45="","",ROUND(E45-D45,2))</f>
      </c>
      <c r="H45" s="150"/>
      <c r="I45" s="108">
        <f aca="true" t="shared" si="19" ref="I45:I59">IF(H45="","",ROUND(E45-D45,2))</f>
      </c>
      <c r="J45" s="73"/>
      <c r="K45" s="1"/>
      <c r="L45" s="9"/>
    </row>
    <row r="46" spans="1:12" ht="16.5" customHeight="1">
      <c r="A46" s="10"/>
      <c r="B46" s="16" t="s">
        <v>76</v>
      </c>
      <c r="C46" s="15"/>
      <c r="D46" s="84"/>
      <c r="E46" s="85"/>
      <c r="F46" s="84"/>
      <c r="G46" s="23">
        <f t="shared" si="18"/>
      </c>
      <c r="H46" s="84"/>
      <c r="I46" s="23">
        <f t="shared" si="19"/>
      </c>
      <c r="J46" s="73"/>
      <c r="K46" s="1"/>
      <c r="L46" s="9"/>
    </row>
    <row r="47" spans="1:12" ht="16.5" customHeight="1">
      <c r="A47" s="10"/>
      <c r="B47" s="16" t="s">
        <v>77</v>
      </c>
      <c r="C47" s="15"/>
      <c r="D47" s="84"/>
      <c r="E47" s="85"/>
      <c r="F47" s="84"/>
      <c r="G47" s="23">
        <f t="shared" si="18"/>
      </c>
      <c r="H47" s="84"/>
      <c r="I47" s="23">
        <f t="shared" si="19"/>
      </c>
      <c r="J47" s="73"/>
      <c r="K47" s="1"/>
      <c r="L47" s="9"/>
    </row>
    <row r="48" spans="1:12" ht="16.5" customHeight="1">
      <c r="A48" s="10"/>
      <c r="B48" s="16" t="s">
        <v>78</v>
      </c>
      <c r="C48" s="15"/>
      <c r="D48" s="84"/>
      <c r="E48" s="85"/>
      <c r="F48" s="84"/>
      <c r="G48" s="23">
        <f t="shared" si="18"/>
      </c>
      <c r="H48" s="84"/>
      <c r="I48" s="23">
        <f t="shared" si="19"/>
      </c>
      <c r="J48" s="73"/>
      <c r="K48" s="1"/>
      <c r="L48" s="9"/>
    </row>
    <row r="49" spans="1:12" ht="16.5" customHeight="1">
      <c r="A49" s="10"/>
      <c r="B49" s="16" t="s">
        <v>79</v>
      </c>
      <c r="C49" s="15"/>
      <c r="D49" s="84"/>
      <c r="E49" s="85"/>
      <c r="F49" s="84"/>
      <c r="G49" s="23">
        <f t="shared" si="18"/>
      </c>
      <c r="H49" s="84"/>
      <c r="I49" s="23">
        <f t="shared" si="19"/>
      </c>
      <c r="J49" s="73"/>
      <c r="K49" s="1"/>
      <c r="L49" s="9"/>
    </row>
    <row r="50" spans="1:12" ht="16.5" customHeight="1">
      <c r="A50" s="10"/>
      <c r="B50" s="16" t="s">
        <v>80</v>
      </c>
      <c r="C50" s="15"/>
      <c r="D50" s="84"/>
      <c r="E50" s="85"/>
      <c r="F50" s="84"/>
      <c r="G50" s="23">
        <f t="shared" si="18"/>
      </c>
      <c r="H50" s="84"/>
      <c r="I50" s="23">
        <f t="shared" si="19"/>
      </c>
      <c r="J50" s="73"/>
      <c r="K50" s="1"/>
      <c r="L50" s="9"/>
    </row>
    <row r="51" spans="1:12" ht="16.5" customHeight="1">
      <c r="A51" s="10"/>
      <c r="B51" s="16" t="s">
        <v>81</v>
      </c>
      <c r="C51" s="15"/>
      <c r="D51" s="84"/>
      <c r="E51" s="85"/>
      <c r="F51" s="84"/>
      <c r="G51" s="23">
        <f t="shared" si="18"/>
      </c>
      <c r="H51" s="84"/>
      <c r="I51" s="23">
        <f t="shared" si="19"/>
      </c>
      <c r="J51" s="73"/>
      <c r="K51" s="1"/>
      <c r="L51" s="9"/>
    </row>
    <row r="52" spans="1:12" ht="16.5" customHeight="1">
      <c r="A52" s="10"/>
      <c r="B52" s="16" t="s">
        <v>82</v>
      </c>
      <c r="C52" s="15"/>
      <c r="D52" s="84"/>
      <c r="E52" s="85"/>
      <c r="F52" s="84"/>
      <c r="G52" s="23">
        <f t="shared" si="18"/>
      </c>
      <c r="H52" s="84"/>
      <c r="I52" s="23">
        <f t="shared" si="19"/>
      </c>
      <c r="J52" s="73"/>
      <c r="K52" s="1"/>
      <c r="L52" s="9"/>
    </row>
    <row r="53" spans="1:12" ht="16.5" customHeight="1">
      <c r="A53" s="10"/>
      <c r="B53" s="16" t="s">
        <v>83</v>
      </c>
      <c r="C53" s="15"/>
      <c r="D53" s="84"/>
      <c r="E53" s="85"/>
      <c r="F53" s="84"/>
      <c r="G53" s="23">
        <f t="shared" si="18"/>
      </c>
      <c r="H53" s="84"/>
      <c r="I53" s="23">
        <f t="shared" si="19"/>
      </c>
      <c r="J53" s="73"/>
      <c r="K53" s="1"/>
      <c r="L53" s="9"/>
    </row>
    <row r="54" spans="1:12" ht="16.5" customHeight="1">
      <c r="A54" s="10"/>
      <c r="B54" s="16" t="s">
        <v>84</v>
      </c>
      <c r="C54" s="15"/>
      <c r="D54" s="84"/>
      <c r="E54" s="85"/>
      <c r="F54" s="84"/>
      <c r="G54" s="23">
        <f t="shared" si="18"/>
      </c>
      <c r="H54" s="84"/>
      <c r="I54" s="23">
        <f t="shared" si="19"/>
      </c>
      <c r="J54" s="73"/>
      <c r="K54" s="1"/>
      <c r="L54" s="9"/>
    </row>
    <row r="55" spans="1:12" ht="16.5" customHeight="1">
      <c r="A55" s="10"/>
      <c r="B55" s="16" t="s">
        <v>85</v>
      </c>
      <c r="C55" s="15"/>
      <c r="D55" s="84"/>
      <c r="E55" s="85"/>
      <c r="F55" s="84"/>
      <c r="G55" s="23">
        <f t="shared" si="18"/>
      </c>
      <c r="H55" s="84"/>
      <c r="I55" s="23">
        <f t="shared" si="19"/>
      </c>
      <c r="J55" s="73"/>
      <c r="K55" s="1"/>
      <c r="L55" s="9"/>
    </row>
    <row r="56" spans="1:12" ht="16.5" customHeight="1">
      <c r="A56" s="10"/>
      <c r="B56" s="16" t="s">
        <v>86</v>
      </c>
      <c r="C56" s="15"/>
      <c r="D56" s="84"/>
      <c r="E56" s="85"/>
      <c r="F56" s="84"/>
      <c r="G56" s="23">
        <f t="shared" si="18"/>
      </c>
      <c r="H56" s="84"/>
      <c r="I56" s="23">
        <f t="shared" si="19"/>
      </c>
      <c r="J56" s="73"/>
      <c r="K56" s="1"/>
      <c r="L56" s="9"/>
    </row>
    <row r="57" spans="1:12" ht="16.5" customHeight="1">
      <c r="A57" s="10"/>
      <c r="B57" s="16" t="s">
        <v>87</v>
      </c>
      <c r="C57" s="15"/>
      <c r="D57" s="84"/>
      <c r="E57" s="85"/>
      <c r="F57" s="84"/>
      <c r="G57" s="23">
        <f t="shared" si="18"/>
      </c>
      <c r="H57" s="84"/>
      <c r="I57" s="23">
        <f t="shared" si="19"/>
      </c>
      <c r="J57" s="73"/>
      <c r="K57" s="1"/>
      <c r="L57" s="9"/>
    </row>
    <row r="58" spans="1:12" ht="16.5" customHeight="1">
      <c r="A58" s="10"/>
      <c r="B58" s="16" t="s">
        <v>88</v>
      </c>
      <c r="C58" s="15"/>
      <c r="D58" s="84"/>
      <c r="E58" s="85"/>
      <c r="F58" s="84"/>
      <c r="G58" s="23">
        <f t="shared" si="18"/>
      </c>
      <c r="H58" s="84"/>
      <c r="I58" s="23">
        <f t="shared" si="19"/>
      </c>
      <c r="J58" s="73"/>
      <c r="K58" s="89" t="s">
        <v>100</v>
      </c>
      <c r="L58" s="9"/>
    </row>
    <row r="59" spans="1:12" ht="16.5" customHeight="1" thickBot="1">
      <c r="A59" s="10"/>
      <c r="B59" s="16" t="s">
        <v>89</v>
      </c>
      <c r="C59" s="15"/>
      <c r="D59" s="84"/>
      <c r="E59" s="85"/>
      <c r="F59" s="84"/>
      <c r="G59" s="23">
        <f t="shared" si="18"/>
      </c>
      <c r="H59" s="84"/>
      <c r="I59" s="23">
        <f t="shared" si="19"/>
      </c>
      <c r="J59" s="73"/>
      <c r="K59" s="1"/>
      <c r="L59" s="9"/>
    </row>
    <row r="60" spans="1:12" ht="16.5" customHeight="1" thickBot="1">
      <c r="A60" s="10"/>
      <c r="B60" s="31" t="s">
        <v>90</v>
      </c>
      <c r="C60" s="33"/>
      <c r="D60" s="109"/>
      <c r="E60" s="109"/>
      <c r="F60" s="110">
        <f>IF(H40=2,"",ROUND(SUMPRODUCT(F45:F59,G45:G59),2))</f>
        <v>0</v>
      </c>
      <c r="G60" s="110">
        <f>IF(H40=2,"",ROUND(SUM(G45:G59),2))</f>
        <v>0</v>
      </c>
      <c r="H60" s="110">
        <f>IF(H40=2,"",ROUND(SUMPRODUCT(H45:H59,I45:I59),2))</f>
        <v>0</v>
      </c>
      <c r="I60" s="111">
        <f>IF(H40=2,"",ROUND(SUM(I45:I59),2))</f>
        <v>0</v>
      </c>
      <c r="J60" s="73"/>
      <c r="K60" s="1"/>
      <c r="L60" s="9"/>
    </row>
    <row r="61" spans="1:12" ht="16.5" customHeight="1" thickBot="1">
      <c r="A61" s="10"/>
      <c r="B61" s="31" t="s">
        <v>91</v>
      </c>
      <c r="C61" s="33"/>
      <c r="D61" s="109"/>
      <c r="E61" s="109"/>
      <c r="F61" s="112">
        <f>IF(F60="","",IF(G60=0,0,ROUND(F60/G60,2)))</f>
        <v>0</v>
      </c>
      <c r="G61" s="112"/>
      <c r="H61" s="112">
        <f>IF(H60="","",IF(G60=0,0,ROUND(H60/I60,2)))</f>
        <v>0</v>
      </c>
      <c r="I61" s="113"/>
      <c r="J61" s="73" t="s">
        <v>101</v>
      </c>
      <c r="K61" s="1"/>
      <c r="L61" s="9"/>
    </row>
    <row r="62" spans="1:12" ht="15" thickBot="1">
      <c r="A62" s="10"/>
      <c r="B62" s="31" t="s">
        <v>92</v>
      </c>
      <c r="C62" s="33"/>
      <c r="D62" s="33"/>
      <c r="E62" s="33"/>
      <c r="F62" s="114">
        <f>IF(H40=2,"",ROUND(IF(F61&gt;=30,30,F61),2))</f>
        <v>0</v>
      </c>
      <c r="G62" s="114">
        <f>IF(H40=2,"",ROUND(G60,2))</f>
        <v>0</v>
      </c>
      <c r="H62" s="114">
        <f>IF(H40=2,"",ROUND(IF(H61&gt;=20,20,H61),2))</f>
        <v>0</v>
      </c>
      <c r="I62" s="115">
        <f>IF(H40=2,"",ROUND(I60,2))</f>
        <v>0</v>
      </c>
      <c r="J62" s="73"/>
      <c r="K62" s="1"/>
      <c r="L62" s="9"/>
    </row>
    <row r="63" spans="1:12" ht="15.75" thickBot="1" thickTop="1">
      <c r="A63" s="26"/>
      <c r="B63" s="27"/>
      <c r="C63" s="27"/>
      <c r="D63" s="27"/>
      <c r="E63" s="27"/>
      <c r="F63" s="27"/>
      <c r="G63" s="27"/>
      <c r="H63" s="27"/>
      <c r="I63" s="27"/>
      <c r="J63" s="27"/>
      <c r="K63" s="27"/>
      <c r="L63" s="26"/>
    </row>
    <row r="64" spans="1:12" ht="15.75" thickBot="1" thickTop="1">
      <c r="A64" s="18" t="s">
        <v>31</v>
      </c>
      <c r="B64" s="98" t="s">
        <v>32</v>
      </c>
      <c r="C64" s="81">
        <v>400</v>
      </c>
      <c r="D64" s="79"/>
      <c r="E64" s="79"/>
      <c r="F64" s="79"/>
      <c r="G64" s="79"/>
      <c r="H64" s="79"/>
      <c r="I64" s="79"/>
      <c r="J64" s="79"/>
      <c r="K64" s="79"/>
      <c r="L64" s="90"/>
    </row>
    <row r="65" spans="1:12" ht="14.25">
      <c r="A65" s="92" t="s">
        <v>102</v>
      </c>
      <c r="B65" s="99" t="s">
        <v>103</v>
      </c>
      <c r="C65" s="102">
        <f aca="true" t="shared" si="20" ref="C65:K65">ROUND(C64*1/1000,2)</f>
        <v>0.4</v>
      </c>
      <c r="D65" s="96">
        <f t="shared" si="20"/>
        <v>0</v>
      </c>
      <c r="E65" s="96">
        <f t="shared" si="20"/>
        <v>0</v>
      </c>
      <c r="F65" s="96">
        <f t="shared" si="20"/>
        <v>0</v>
      </c>
      <c r="G65" s="96">
        <f t="shared" si="20"/>
        <v>0</v>
      </c>
      <c r="H65" s="96">
        <f t="shared" si="20"/>
        <v>0</v>
      </c>
      <c r="I65" s="96">
        <f t="shared" si="20"/>
        <v>0</v>
      </c>
      <c r="J65" s="96">
        <f t="shared" si="20"/>
        <v>0</v>
      </c>
      <c r="K65" s="97">
        <f t="shared" si="20"/>
        <v>0</v>
      </c>
      <c r="L65" s="90"/>
    </row>
    <row r="66" spans="1:12" ht="15" thickBot="1">
      <c r="A66" s="91" t="s">
        <v>104</v>
      </c>
      <c r="B66" s="100" t="s">
        <v>105</v>
      </c>
      <c r="C66" s="152">
        <v>29</v>
      </c>
      <c r="D66" s="153"/>
      <c r="E66" s="153"/>
      <c r="F66" s="153"/>
      <c r="G66" s="153"/>
      <c r="H66" s="153"/>
      <c r="I66" s="153"/>
      <c r="J66" s="153"/>
      <c r="K66" s="153"/>
      <c r="L66" s="90"/>
    </row>
    <row r="67" spans="1:12" ht="15" thickBot="1">
      <c r="A67" s="92" t="s">
        <v>106</v>
      </c>
      <c r="B67" s="99" t="s">
        <v>107</v>
      </c>
      <c r="C67" s="102">
        <f aca="true" t="shared" si="21" ref="C67:K67">ROUND(4*C64/1000,2)</f>
        <v>1.6</v>
      </c>
      <c r="D67" s="96">
        <f t="shared" si="21"/>
        <v>0</v>
      </c>
      <c r="E67" s="96">
        <f t="shared" si="21"/>
        <v>0</v>
      </c>
      <c r="F67" s="96">
        <f t="shared" si="21"/>
        <v>0</v>
      </c>
      <c r="G67" s="96">
        <f t="shared" si="21"/>
        <v>0</v>
      </c>
      <c r="H67" s="96">
        <f t="shared" si="21"/>
        <v>0</v>
      </c>
      <c r="I67" s="96">
        <f t="shared" si="21"/>
        <v>0</v>
      </c>
      <c r="J67" s="96">
        <f t="shared" si="21"/>
        <v>0</v>
      </c>
      <c r="K67" s="97">
        <f t="shared" si="21"/>
        <v>0</v>
      </c>
      <c r="L67" s="90"/>
    </row>
    <row r="68" spans="1:12" ht="14.25">
      <c r="A68" s="90" t="s">
        <v>108</v>
      </c>
      <c r="B68" s="99" t="s">
        <v>109</v>
      </c>
      <c r="C68" s="154">
        <v>1.6</v>
      </c>
      <c r="D68" s="155"/>
      <c r="E68" s="155"/>
      <c r="F68" s="155"/>
      <c r="G68" s="155"/>
      <c r="H68" s="155"/>
      <c r="I68" s="155"/>
      <c r="J68" s="155"/>
      <c r="K68" s="156"/>
      <c r="L68" s="90"/>
    </row>
    <row r="69" spans="1:12" ht="14.25">
      <c r="A69" s="90" t="s">
        <v>110</v>
      </c>
      <c r="B69" s="100" t="s">
        <v>111</v>
      </c>
      <c r="C69" s="157"/>
      <c r="D69" s="158"/>
      <c r="E69" s="158"/>
      <c r="F69" s="158"/>
      <c r="G69" s="158"/>
      <c r="H69" s="158"/>
      <c r="I69" s="158"/>
      <c r="J69" s="158"/>
      <c r="K69" s="158"/>
      <c r="L69" s="90"/>
    </row>
    <row r="70" spans="1:12" ht="14.25">
      <c r="A70" s="90"/>
      <c r="B70" s="100" t="s">
        <v>112</v>
      </c>
      <c r="C70" s="157"/>
      <c r="D70" s="158"/>
      <c r="E70" s="158"/>
      <c r="F70" s="158"/>
      <c r="G70" s="158"/>
      <c r="H70" s="158"/>
      <c r="I70" s="158"/>
      <c r="J70" s="158"/>
      <c r="K70" s="158"/>
      <c r="L70" s="90"/>
    </row>
    <row r="71" spans="1:12" ht="14.25">
      <c r="A71" s="90"/>
      <c r="B71" s="100" t="s">
        <v>113</v>
      </c>
      <c r="C71" s="157"/>
      <c r="D71" s="158"/>
      <c r="E71" s="158"/>
      <c r="F71" s="158"/>
      <c r="G71" s="158"/>
      <c r="H71" s="158"/>
      <c r="I71" s="158"/>
      <c r="J71" s="158"/>
      <c r="K71" s="158"/>
      <c r="L71" s="90"/>
    </row>
    <row r="72" spans="1:12" ht="15" thickBot="1">
      <c r="A72" s="90"/>
      <c r="B72" s="100" t="s">
        <v>114</v>
      </c>
      <c r="C72" s="157"/>
      <c r="D72" s="158"/>
      <c r="E72" s="158"/>
      <c r="F72" s="158"/>
      <c r="G72" s="158"/>
      <c r="H72" s="158"/>
      <c r="I72" s="158"/>
      <c r="J72" s="158"/>
      <c r="K72" s="158"/>
      <c r="L72" s="90"/>
    </row>
    <row r="73" spans="1:12" ht="14.25">
      <c r="A73" s="92" t="s">
        <v>115</v>
      </c>
      <c r="B73" s="99" t="s">
        <v>116</v>
      </c>
      <c r="C73" s="159">
        <v>34</v>
      </c>
      <c r="D73" s="160"/>
      <c r="E73" s="160"/>
      <c r="F73" s="160"/>
      <c r="G73" s="160"/>
      <c r="H73" s="160"/>
      <c r="I73" s="160"/>
      <c r="J73" s="160"/>
      <c r="K73" s="161"/>
      <c r="L73" s="90"/>
    </row>
    <row r="74" spans="1:12" ht="14.25">
      <c r="A74" s="90"/>
      <c r="B74" s="100" t="s">
        <v>117</v>
      </c>
      <c r="C74" s="152"/>
      <c r="D74" s="153"/>
      <c r="E74" s="153"/>
      <c r="F74" s="153"/>
      <c r="G74" s="153"/>
      <c r="H74" s="153"/>
      <c r="I74" s="153"/>
      <c r="J74" s="153"/>
      <c r="K74" s="153"/>
      <c r="L74" s="90"/>
    </row>
    <row r="75" spans="1:12" ht="14.25">
      <c r="A75" s="90"/>
      <c r="B75" s="100" t="s">
        <v>118</v>
      </c>
      <c r="C75" s="152"/>
      <c r="D75" s="153"/>
      <c r="E75" s="153"/>
      <c r="F75" s="153"/>
      <c r="G75" s="153"/>
      <c r="H75" s="153"/>
      <c r="I75" s="153"/>
      <c r="J75" s="153"/>
      <c r="K75" s="153"/>
      <c r="L75" s="90"/>
    </row>
    <row r="76" spans="1:12" ht="14.25">
      <c r="A76" s="90"/>
      <c r="B76" s="100" t="s">
        <v>119</v>
      </c>
      <c r="C76" s="152"/>
      <c r="D76" s="153"/>
      <c r="E76" s="153"/>
      <c r="F76" s="153"/>
      <c r="G76" s="153"/>
      <c r="H76" s="153"/>
      <c r="I76" s="153"/>
      <c r="J76" s="153"/>
      <c r="K76" s="153"/>
      <c r="L76" s="90"/>
    </row>
    <row r="77" spans="1:12" ht="15" thickBot="1">
      <c r="A77" s="90"/>
      <c r="B77" s="100" t="s">
        <v>120</v>
      </c>
      <c r="C77" s="152"/>
      <c r="D77" s="153"/>
      <c r="E77" s="153"/>
      <c r="F77" s="153"/>
      <c r="G77" s="153"/>
      <c r="H77" s="153"/>
      <c r="I77" s="153"/>
      <c r="J77" s="153"/>
      <c r="K77" s="153"/>
      <c r="L77" s="90"/>
    </row>
    <row r="78" spans="1:12" ht="15" thickBot="1">
      <c r="A78" s="92" t="s">
        <v>121</v>
      </c>
      <c r="B78" s="99" t="s">
        <v>122</v>
      </c>
      <c r="C78" s="99">
        <f aca="true" t="shared" si="22" ref="C78:K78">IF(C66="","",ROUND((C65*C66+C68*C73+C69*C74+C70*C75+C71*C76+C72*C77)/(C67+C65),1))</f>
        <v>33</v>
      </c>
      <c r="D78" s="94">
        <f t="shared" si="22"/>
      </c>
      <c r="E78" s="94">
        <f t="shared" si="22"/>
      </c>
      <c r="F78" s="94">
        <f t="shared" si="22"/>
      </c>
      <c r="G78" s="94">
        <f t="shared" si="22"/>
      </c>
      <c r="H78" s="94">
        <f t="shared" si="22"/>
      </c>
      <c r="I78" s="94">
        <f t="shared" si="22"/>
      </c>
      <c r="J78" s="94">
        <f t="shared" si="22"/>
      </c>
      <c r="K78" s="95">
        <f t="shared" si="22"/>
      </c>
      <c r="L78" s="90"/>
    </row>
    <row r="79" spans="1:12" ht="15" thickBot="1">
      <c r="A79" s="90" t="s">
        <v>123</v>
      </c>
      <c r="B79" s="101" t="s">
        <v>97</v>
      </c>
      <c r="C79" s="101">
        <f>IF(C78="",0,ROUNDDOWN(MIN(60,C78),0))</f>
        <v>33</v>
      </c>
      <c r="D79" s="92">
        <f aca="true" t="shared" si="23" ref="D79:K79">IF(D78="",0,ROUNDDOWN(MIN(60,D78),0))</f>
        <v>0</v>
      </c>
      <c r="E79" s="92">
        <f t="shared" si="23"/>
        <v>0</v>
      </c>
      <c r="F79" s="92">
        <f t="shared" si="23"/>
        <v>0</v>
      </c>
      <c r="G79" s="92">
        <f t="shared" si="23"/>
        <v>0</v>
      </c>
      <c r="H79" s="92">
        <f t="shared" si="23"/>
        <v>0</v>
      </c>
      <c r="I79" s="92">
        <f t="shared" si="23"/>
        <v>0</v>
      </c>
      <c r="J79" s="92">
        <f t="shared" si="23"/>
        <v>0</v>
      </c>
      <c r="K79" s="93">
        <f t="shared" si="23"/>
        <v>0</v>
      </c>
      <c r="L79" s="90"/>
    </row>
    <row r="80" spans="1:12" ht="15" thickTop="1">
      <c r="A80" s="27"/>
      <c r="B80" s="27"/>
      <c r="C80" s="27"/>
      <c r="D80" s="27"/>
      <c r="E80" s="27"/>
      <c r="F80" s="27"/>
      <c r="G80" s="27"/>
      <c r="H80" s="27"/>
      <c r="I80" s="27"/>
      <c r="J80" s="27"/>
      <c r="K80" s="27"/>
      <c r="L80" s="26"/>
    </row>
  </sheetData>
  <sheetProtection/>
  <printOptions horizontalCentered="1"/>
  <pageMargins left="0.5888888888888889" right="0.20069444444444445" top="0.39166666666666666" bottom="0.3138888888888889" header="0.512" footer="0.512"/>
  <pageSetup horizontalDpi="600" verticalDpi="600" orientation="portrait" paperSize="9" scale="64" r:id="rId2"/>
  <rowBreaks count="1" manualBreakCount="1">
    <brk id="80" max="65535"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2010-03-19T06:42:08Z</cp:lastPrinted>
  <dcterms:created xsi:type="dcterms:W3CDTF">2011-05-13T05:17:27Z</dcterms:created>
  <dcterms:modified xsi:type="dcterms:W3CDTF">2012-03-04T13:26:17Z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