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9090" activeTab="0"/>
  </bookViews>
  <sheets>
    <sheet name="摩擦杭　HC-TOP摩擦杭(ジオミキシングトップ工法）" sheetId="1" r:id="rId1"/>
  </sheets>
  <definedNames>
    <definedName name="_xlnm.Print_Area" localSheetId="0">'摩擦杭　HC-TOP摩擦杭(ジオミキシングトップ工法）'!$A$1:$M$70</definedName>
  </definedNames>
  <calcPr fullCalcOnLoad="1"/>
</workbook>
</file>

<file path=xl/sharedStrings.xml><?xml version="1.0" encoding="utf-8"?>
<sst xmlns="http://schemas.openxmlformats.org/spreadsheetml/2006/main" count="201" uniqueCount="179">
  <si>
    <t xml:space="preserve">  摩擦杭の許容支持力の算定</t>
  </si>
  <si>
    <t>新築工事</t>
  </si>
  <si>
    <t>杭工法</t>
  </si>
  <si>
    <t>建設省阪住指発第１７６号（平成１２年５月３１日取得）</t>
  </si>
  <si>
    <t>ジオミキシング工法の許容鉛直支持力は地盤による支持力及び杭材から定まる支持力の内小さい方の耐力とする。</t>
  </si>
  <si>
    <t xml:space="preserve"> 算定式</t>
  </si>
  <si>
    <t>Ra1=1/3｛α*Np*Ap+[(β*Ns*Ls+γ*qu*Lc]*ψ｝</t>
  </si>
  <si>
    <t>　 =1/3｛150*Np*Ap+[(5*Ns+30)*Ls+(6*Nc+20)*Lc]ψ｝</t>
  </si>
  <si>
    <t>計算杭条件</t>
  </si>
  <si>
    <t>杭種別</t>
  </si>
  <si>
    <t>杭種</t>
  </si>
  <si>
    <t>種類</t>
  </si>
  <si>
    <t>設計杭種</t>
  </si>
  <si>
    <t>Ra2=(fc-σe)*Ae*(1-α1-α2)</t>
  </si>
  <si>
    <t>上杭</t>
  </si>
  <si>
    <t>HC-TOP</t>
  </si>
  <si>
    <t>A種</t>
  </si>
  <si>
    <t>σｅ：</t>
  </si>
  <si>
    <t>Ａ種392N/cm^2  Ｂ種785N/cm^2  Ｃ種981N/cm^2</t>
  </si>
  <si>
    <t>ボーリング柱状図</t>
  </si>
  <si>
    <t>中杭</t>
  </si>
  <si>
    <t>Ａ種</t>
  </si>
  <si>
    <t>ｆｃ：</t>
  </si>
  <si>
    <t>Ａ種1961N/cm^2  Ｂ種2354N/cm^2  Ｃ種2354N/cm^2</t>
  </si>
  <si>
    <t>により採用します。</t>
  </si>
  <si>
    <t>下杭</t>
  </si>
  <si>
    <t>Ａｐ：</t>
  </si>
  <si>
    <t>杭節部で囲まれた面積（㎡）</t>
  </si>
  <si>
    <t>（柱状図別紙添付）</t>
  </si>
  <si>
    <t>ジオミキシング工法</t>
  </si>
  <si>
    <t>α値：</t>
  </si>
  <si>
    <t>支持力係数α=150(ただしＮｐ＜５の場合はα=０）</t>
  </si>
  <si>
    <t>杭先端平均Ｎp</t>
  </si>
  <si>
    <t>2D1の平均</t>
  </si>
  <si>
    <t>Ｎｐ：</t>
  </si>
  <si>
    <t>２Ｄ1の平均Ｎ値とする。（平均Nｐの最大値≦３０)</t>
  </si>
  <si>
    <t>砂質部　ΣβNsLs</t>
  </si>
  <si>
    <t>(KN/m^2)</t>
  </si>
  <si>
    <t>表１より</t>
  </si>
  <si>
    <t>Ｄo：</t>
  </si>
  <si>
    <t>軸部径とする。(mm)</t>
  </si>
  <si>
    <t xml:space="preserve">         杭長Ls</t>
  </si>
  <si>
    <t>(m)</t>
  </si>
  <si>
    <t>自動入力</t>
  </si>
  <si>
    <t>Ｄ1：</t>
  </si>
  <si>
    <t>節部径とする。(mm)</t>
  </si>
  <si>
    <t>粘土部　ΣγquLc</t>
  </si>
  <si>
    <t>βＮｓ：</t>
  </si>
  <si>
    <t>砂質土地盤中の杭周辺摩擦抵抗度（5*Ns+30）</t>
  </si>
  <si>
    <t xml:space="preserve">         杭長Lc</t>
  </si>
  <si>
    <t>但しβＮｓ≦200(KN/m^2)　とする。</t>
  </si>
  <si>
    <t>杭全長　　Ｌ</t>
  </si>
  <si>
    <t>m</t>
  </si>
  <si>
    <t>直接入力</t>
  </si>
  <si>
    <t>γｑｕ：</t>
  </si>
  <si>
    <t>粘土地盤中の杭周辺摩擦抵抗度（6*Nc+20）</t>
  </si>
  <si>
    <t>設計採用杭　</t>
  </si>
  <si>
    <t>　●杭</t>
  </si>
  <si>
    <t>但しγｑｕ≦100(KN/m^2)　とする。</t>
  </si>
  <si>
    <t>杭径（軸径－節径）</t>
  </si>
  <si>
    <t>(mm)</t>
  </si>
  <si>
    <t>440-300</t>
  </si>
  <si>
    <t>500-400</t>
  </si>
  <si>
    <t>600-450</t>
  </si>
  <si>
    <t>650-500</t>
  </si>
  <si>
    <t>杭径の設計用諸元表（ＳＩ単位）</t>
  </si>
  <si>
    <t>杭径（軸径）</t>
  </si>
  <si>
    <t>Ｄo (mm)</t>
  </si>
  <si>
    <t>使用杭径入力番号</t>
  </si>
  <si>
    <t>φ４４０－３００</t>
  </si>
  <si>
    <t>杭径（節径）</t>
  </si>
  <si>
    <t>Ｄ１(mm)</t>
  </si>
  <si>
    <t>φ５００－４００</t>
  </si>
  <si>
    <t>杭節部断面積</t>
  </si>
  <si>
    <t>Ap=D1^2*π/4(m^2)</t>
  </si>
  <si>
    <t>φ６００－４５０</t>
  </si>
  <si>
    <t>杭節部の周長</t>
  </si>
  <si>
    <t>ψ=D1*π(m)</t>
  </si>
  <si>
    <t>φ６５０－５００</t>
  </si>
  <si>
    <t>杭工法　　1:摩擦杭工法(HC-TOP工法)</t>
  </si>
  <si>
    <t>使用杭番号</t>
  </si>
  <si>
    <t>Ｂ種</t>
  </si>
  <si>
    <t>Ｃ種</t>
  </si>
  <si>
    <t>杭工法係数</t>
  </si>
  <si>
    <t>α：150 or 0</t>
  </si>
  <si>
    <t>外径</t>
  </si>
  <si>
    <t>節部</t>
  </si>
  <si>
    <t>先端支持耐力1/3Rp</t>
  </si>
  <si>
    <t>(1/3)αNpAp</t>
  </si>
  <si>
    <t>軸部</t>
  </si>
  <si>
    <t>摩擦耐力  1/3Rfs</t>
  </si>
  <si>
    <t>1/3{(5Ns+30)Lsψ}</t>
  </si>
  <si>
    <t>肉厚（mm)</t>
  </si>
  <si>
    <t>　　　　  1/3Rfc</t>
  </si>
  <si>
    <t>1/3{(6Nc+20)Lcψ}</t>
  </si>
  <si>
    <t>軸部断面席(cm^2)</t>
  </si>
  <si>
    <t>地盤の設計耐力Ra1</t>
  </si>
  <si>
    <t>Ra1=R1+Rfs+Rfc</t>
  </si>
  <si>
    <t>杭端から</t>
  </si>
  <si>
    <t>ａ（頭部）</t>
  </si>
  <si>
    <t>杭の換算断面積Ａe（cm^2)</t>
  </si>
  <si>
    <t>節部の寸法</t>
  </si>
  <si>
    <t>ｂ（先端部）</t>
  </si>
  <si>
    <t>杭材の最大耐力</t>
  </si>
  <si>
    <t xml:space="preserve">(fc-σe)Ae   </t>
  </si>
  <si>
    <t>杭長（評価完了）(m)</t>
  </si>
  <si>
    <t>4～15(１ｍ毎）</t>
  </si>
  <si>
    <t>長さ径比の低減率</t>
  </si>
  <si>
    <t>α1=(L/d-85)</t>
  </si>
  <si>
    <t>con設計基準強度(N/cm^2)</t>
  </si>
  <si>
    <t>長さ径比の限界</t>
  </si>
  <si>
    <t>L/d&lt;110</t>
  </si>
  <si>
    <t>有効プレストレス量(N/cm^2)</t>
  </si>
  <si>
    <t>継ぎ手箇所（T・PJOINT時：無溶接）</t>
  </si>
  <si>
    <t>公称径(mm)</t>
  </si>
  <si>
    <t>継手低減率</t>
  </si>
  <si>
    <t>α2</t>
  </si>
  <si>
    <t>ＰＣ鋼棒</t>
  </si>
  <si>
    <t>本数</t>
  </si>
  <si>
    <t>地盤の許容耐力</t>
  </si>
  <si>
    <t>Ra1(KN)</t>
  </si>
  <si>
    <t>断面積(cm^2)</t>
  </si>
  <si>
    <t>杭材の許容耐力</t>
  </si>
  <si>
    <t>Ra2(KN)</t>
  </si>
  <si>
    <t>設計曲げ</t>
  </si>
  <si>
    <t>ひびわれ</t>
  </si>
  <si>
    <t>設計採用長期杭耐力Ｒａ(KN)SI単位</t>
  </si>
  <si>
    <t>モーメント</t>
  </si>
  <si>
    <t>破壊</t>
  </si>
  <si>
    <t>長杭・短杭の確認（短杭耐力低減する）</t>
  </si>
  <si>
    <t>杭の体積（中空部を含む）m^3/m</t>
  </si>
  <si>
    <t>長期許容鉛直支持力算定における採用換算断面積表（設計杭種により自動計算する）</t>
  </si>
  <si>
    <t>杭材の長期許容軸力(KN)</t>
  </si>
  <si>
    <t>換算断面積Ａｅ</t>
  </si>
  <si>
    <t>Ａ種(cm^2)</t>
  </si>
  <si>
    <t>Ｂ種(cm^2)</t>
  </si>
  <si>
    <t>Ｃ種(cm^2)</t>
  </si>
  <si>
    <t>杭の周辺摩擦力の検討　１：検討する　２：しない</t>
  </si>
  <si>
    <t>表－１</t>
  </si>
  <si>
    <t>砂質土地盤の平均Ns値及び粘性土地盤の平均Ｎc値の計算</t>
  </si>
  <si>
    <t>(但しβＮｓ=(5Ｎｓ+30)の値は２００以下　γｑｕ=(6Ｎｃ+20)の値は１００以下）</t>
  </si>
  <si>
    <t>ボーリング調査資料</t>
  </si>
  <si>
    <t>　GL以深の位置</t>
  </si>
  <si>
    <t>Ns</t>
  </si>
  <si>
    <t>Ls</t>
  </si>
  <si>
    <t>βＮｓ*Ls</t>
  </si>
  <si>
    <t>Nc</t>
  </si>
  <si>
    <t>Lc</t>
  </si>
  <si>
    <t>γｑｕ*Lc</t>
  </si>
  <si>
    <t>土質名</t>
  </si>
  <si>
    <t>番号</t>
  </si>
  <si>
    <t>盛り土</t>
  </si>
  <si>
    <t>NO1</t>
  </si>
  <si>
    <t>ローム層</t>
  </si>
  <si>
    <t>NO2</t>
  </si>
  <si>
    <t>凝灰質粘土</t>
  </si>
  <si>
    <t>NO3</t>
  </si>
  <si>
    <t>Ｎｐ算定基準面</t>
  </si>
  <si>
    <t>粘土混じり砂</t>
  </si>
  <si>
    <t>NO4</t>
  </si>
  <si>
    <t>細砂</t>
  </si>
  <si>
    <t>NO5</t>
  </si>
  <si>
    <t>NO6</t>
  </si>
  <si>
    <t>NO7</t>
  </si>
  <si>
    <t>NO8</t>
  </si>
  <si>
    <t>NO9</t>
  </si>
  <si>
    <t>NO10</t>
  </si>
  <si>
    <t>摩擦抵抗を考慮</t>
  </si>
  <si>
    <t>NO11</t>
  </si>
  <si>
    <t>しない範囲</t>
  </si>
  <si>
    <t>NO12</t>
  </si>
  <si>
    <t>NO13</t>
  </si>
  <si>
    <t>NO14</t>
  </si>
  <si>
    <t>NO15</t>
  </si>
  <si>
    <t>Σ層厚</t>
  </si>
  <si>
    <t>凡例図</t>
  </si>
  <si>
    <t>βＮｓ=(5Ｎｓ+30)</t>
  </si>
  <si>
    <t>γｑｕ=(6Nc+20)</t>
  </si>
  <si>
    <t>A種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</si>
</sst>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s>
  <fonts count="43">
    <font>
      <sz val="12"/>
      <name val="ＭＳ 明朝"/>
      <family val="1"/>
    </font>
    <font>
      <b/>
      <sz val="10"/>
      <name val="Arial"/>
      <family val="2"/>
    </font>
    <font>
      <i/>
      <sz val="10"/>
      <name val="Arial"/>
      <family val="2"/>
    </font>
    <font>
      <b/>
      <i/>
      <sz val="10"/>
      <name val="Arial"/>
      <family val="2"/>
    </font>
    <font>
      <sz val="12"/>
      <name val="ＭＳ ゴシック"/>
      <family val="3"/>
    </font>
    <font>
      <sz val="12"/>
      <color indexed="8"/>
      <name val="ＭＳ ゴシック"/>
      <family val="3"/>
    </font>
    <font>
      <sz val="10"/>
      <name val="ＭＳ ゴシック"/>
      <family val="3"/>
    </font>
    <font>
      <sz val="10"/>
      <color indexed="8"/>
      <name val="ＭＳ ゴシック"/>
      <family val="3"/>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8"/>
      </top>
      <bottom>
        <color indexed="63"/>
      </bottom>
    </border>
    <border>
      <left style="thick">
        <color indexed="8"/>
      </left>
      <right>
        <color indexed="63"/>
      </right>
      <top style="thick">
        <color indexed="8"/>
      </top>
      <bottom>
        <color indexed="63"/>
      </bottom>
    </border>
    <border>
      <left style="thick">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style="thick">
        <color indexed="8"/>
      </right>
      <top style="thick">
        <color indexed="8"/>
      </top>
      <bottom>
        <color indexed="63"/>
      </bottom>
    </border>
    <border>
      <left style="medium">
        <color indexed="8"/>
      </left>
      <right style="medium">
        <color indexed="8"/>
      </right>
      <top style="thin">
        <color indexed="8"/>
      </top>
      <bottom>
        <color indexed="63"/>
      </bottom>
    </border>
    <border>
      <left style="medium">
        <color indexed="8"/>
      </left>
      <right style="thick">
        <color indexed="8"/>
      </right>
      <top>
        <color indexed="63"/>
      </top>
      <bottom>
        <color indexed="63"/>
      </bottom>
    </border>
    <border>
      <left style="medium">
        <color indexed="8"/>
      </left>
      <right style="thick">
        <color indexed="8"/>
      </right>
      <top style="thin">
        <color indexed="8"/>
      </top>
      <bottom>
        <color indexed="63"/>
      </bottom>
    </border>
    <border>
      <left style="medium">
        <color indexed="8"/>
      </left>
      <right>
        <color indexed="63"/>
      </right>
      <top style="thin">
        <color indexed="8"/>
      </top>
      <bottom>
        <color indexed="63"/>
      </bottom>
    </border>
    <border>
      <left style="medium">
        <color indexed="8"/>
      </left>
      <right style="medium">
        <color indexed="8"/>
      </right>
      <top>
        <color indexed="63"/>
      </top>
      <bottom>
        <color indexed="63"/>
      </bottom>
    </border>
    <border>
      <left style="thick">
        <color indexed="8"/>
      </left>
      <right>
        <color indexed="63"/>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diagonalUp="1">
      <left style="medium">
        <color indexed="8"/>
      </left>
      <right style="thick">
        <color indexed="8"/>
      </right>
      <top>
        <color indexed="63"/>
      </top>
      <bottom>
        <color indexed="63"/>
      </bottom>
      <diagonal style="thin">
        <color indexed="8"/>
      </diagonal>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diagonalUp="1">
      <left style="medium">
        <color indexed="8"/>
      </left>
      <right style="thick">
        <color indexed="8"/>
      </right>
      <top style="medium">
        <color indexed="8"/>
      </top>
      <bottom style="medium">
        <color indexed="8"/>
      </bottom>
      <diagonal style="thin">
        <color indexed="8"/>
      </diagonal>
    </border>
    <border>
      <left style="thick">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thick">
        <color indexed="8"/>
      </right>
      <top style="medium">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ck">
        <color indexed="8"/>
      </left>
      <right style="thick">
        <color indexed="8"/>
      </right>
      <top style="medium">
        <color indexed="8"/>
      </top>
      <bottom>
        <color indexed="63"/>
      </bottom>
    </border>
    <border>
      <left>
        <color indexed="63"/>
      </left>
      <right style="thick">
        <color indexed="8"/>
      </right>
      <top style="medium">
        <color indexed="8"/>
      </top>
      <bottom>
        <color indexed="63"/>
      </bottom>
    </border>
    <border>
      <left>
        <color indexed="63"/>
      </left>
      <right style="medium">
        <color indexed="8"/>
      </right>
      <top style="thick">
        <color indexed="8"/>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color indexed="63"/>
      </left>
      <right style="medium">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thick">
        <color indexed="8"/>
      </right>
      <top style="medium">
        <color indexed="8"/>
      </top>
      <bottom>
        <color indexed="63"/>
      </bottom>
    </border>
    <border>
      <left style="medium">
        <color indexed="8"/>
      </left>
      <right>
        <color indexed="63"/>
      </right>
      <top style="thin">
        <color indexed="8"/>
      </top>
      <bottom style="thick">
        <color indexed="8"/>
      </bottom>
    </border>
    <border>
      <left style="medium">
        <color indexed="8"/>
      </left>
      <right style="medium">
        <color indexed="8"/>
      </right>
      <top style="thin">
        <color indexed="8"/>
      </top>
      <bottom style="thick">
        <color indexed="8"/>
      </bottom>
    </border>
    <border>
      <left style="medium">
        <color indexed="8"/>
      </left>
      <right style="thick">
        <color indexed="8"/>
      </right>
      <top style="thin">
        <color indexed="8"/>
      </top>
      <bottom style="thick">
        <color indexed="8"/>
      </bottom>
    </border>
    <border>
      <left style="thick">
        <color indexed="8"/>
      </left>
      <right style="thick">
        <color indexed="8"/>
      </right>
      <top style="thick">
        <color indexed="8"/>
      </top>
      <bottom>
        <color indexed="63"/>
      </bottom>
    </border>
    <border>
      <left style="thick">
        <color indexed="8"/>
      </left>
      <right style="thick">
        <color indexed="8"/>
      </right>
      <top style="thin">
        <color indexed="8"/>
      </top>
      <bottom>
        <color indexed="63"/>
      </bottom>
    </border>
    <border>
      <left style="thick">
        <color indexed="8"/>
      </left>
      <right style="thick">
        <color indexed="8"/>
      </right>
      <top style="medium">
        <color indexed="8"/>
      </top>
      <bottom style="medium">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37">
    <xf numFmtId="0" fontId="0" fillId="0" borderId="0" xfId="0" applyNumberFormat="1" applyFont="1" applyAlignment="1" applyProtection="1">
      <alignment/>
      <protection locked="0"/>
    </xf>
    <xf numFmtId="0" fontId="4" fillId="0" borderId="10" xfId="0" applyFont="1" applyBorder="1" applyAlignment="1">
      <alignment vertical="center"/>
    </xf>
    <xf numFmtId="0" fontId="4" fillId="0" borderId="11" xfId="0" applyFont="1" applyBorder="1" applyAlignment="1">
      <alignment vertical="center"/>
    </xf>
    <xf numFmtId="2" fontId="4" fillId="33" borderId="11" xfId="0" applyNumberFormat="1" applyFont="1" applyFill="1" applyBorder="1" applyAlignment="1">
      <alignment vertical="center"/>
    </xf>
    <xf numFmtId="2" fontId="5" fillId="33" borderId="12" xfId="0" applyNumberFormat="1" applyFont="1" applyFill="1" applyBorder="1" applyAlignment="1">
      <alignment vertical="center"/>
    </xf>
    <xf numFmtId="2" fontId="5" fillId="33" borderId="13" xfId="0" applyNumberFormat="1" applyFont="1" applyFill="1" applyBorder="1" applyAlignment="1">
      <alignment vertical="center"/>
    </xf>
    <xf numFmtId="0" fontId="4" fillId="33" borderId="10" xfId="0" applyFont="1" applyFill="1" applyBorder="1" applyAlignment="1">
      <alignment vertical="center"/>
    </xf>
    <xf numFmtId="0" fontId="4" fillId="33" borderId="0" xfId="0" applyFont="1" applyFill="1" applyAlignment="1">
      <alignmen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1" fontId="4" fillId="33" borderId="14"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4" fillId="33" borderId="13" xfId="0" applyNumberFormat="1" applyFont="1" applyFill="1" applyBorder="1" applyAlignment="1">
      <alignment horizontal="centerContinuous" vertical="center"/>
    </xf>
    <xf numFmtId="0" fontId="4" fillId="33" borderId="14" xfId="0" applyNumberFormat="1" applyFont="1" applyFill="1" applyBorder="1" applyAlignment="1">
      <alignment horizontal="centerContinuous" vertical="center"/>
    </xf>
    <xf numFmtId="0" fontId="5" fillId="33" borderId="13" xfId="0" applyFont="1" applyFill="1" applyBorder="1" applyAlignment="1">
      <alignment horizontal="center" vertical="center"/>
    </xf>
    <xf numFmtId="2" fontId="5" fillId="33" borderId="11" xfId="0" applyNumberFormat="1" applyFont="1" applyFill="1" applyBorder="1" applyAlignment="1">
      <alignment vertical="center"/>
    </xf>
    <xf numFmtId="2" fontId="5" fillId="33" borderId="15" xfId="0" applyNumberFormat="1" applyFont="1" applyFill="1" applyBorder="1" applyAlignment="1">
      <alignment vertical="center"/>
    </xf>
    <xf numFmtId="0" fontId="4" fillId="0" borderId="11" xfId="0" applyFont="1" applyBorder="1" applyAlignment="1">
      <alignment horizontal="center" vertical="center"/>
    </xf>
    <xf numFmtId="0" fontId="5" fillId="34" borderId="11" xfId="0" applyFont="1" applyFill="1" applyBorder="1" applyAlignment="1">
      <alignment vertical="center"/>
    </xf>
    <xf numFmtId="0" fontId="0" fillId="0" borderId="13" xfId="0" applyFont="1" applyBorder="1" applyAlignment="1">
      <alignment vertical="center"/>
    </xf>
    <xf numFmtId="2" fontId="4" fillId="0" borderId="15" xfId="0" applyNumberFormat="1" applyFont="1" applyBorder="1" applyAlignment="1">
      <alignment vertical="center"/>
    </xf>
    <xf numFmtId="2" fontId="5" fillId="35" borderId="15" xfId="0" applyNumberFormat="1" applyFont="1" applyFill="1" applyBorder="1" applyAlignment="1">
      <alignment vertical="center"/>
    </xf>
    <xf numFmtId="2" fontId="4" fillId="0" borderId="13" xfId="0" applyNumberFormat="1" applyFont="1" applyBorder="1" applyAlignment="1">
      <alignment vertical="center"/>
    </xf>
    <xf numFmtId="2" fontId="5" fillId="35" borderId="13" xfId="0" applyNumberFormat="1" applyFont="1" applyFill="1" applyBorder="1" applyAlignment="1">
      <alignment vertical="center"/>
    </xf>
    <xf numFmtId="0" fontId="4" fillId="0" borderId="16" xfId="0" applyFont="1" applyBorder="1" applyAlignment="1">
      <alignment horizontal="center" vertical="center"/>
    </xf>
    <xf numFmtId="2" fontId="4" fillId="0" borderId="10" xfId="0" applyNumberFormat="1" applyFont="1" applyBorder="1" applyAlignment="1">
      <alignment vertical="center"/>
    </xf>
    <xf numFmtId="2" fontId="5" fillId="35" borderId="11" xfId="0" applyNumberFormat="1" applyFont="1" applyFill="1" applyBorder="1" applyAlignment="1">
      <alignment vertical="center"/>
    </xf>
    <xf numFmtId="2" fontId="5" fillId="34" borderId="11" xfId="0" applyNumberFormat="1" applyFont="1" applyFill="1" applyBorder="1" applyAlignment="1">
      <alignment vertical="center"/>
    </xf>
    <xf numFmtId="0" fontId="0" fillId="0" borderId="11" xfId="0" applyFont="1" applyBorder="1" applyAlignment="1">
      <alignment vertical="center"/>
    </xf>
    <xf numFmtId="0" fontId="4" fillId="35" borderId="11" xfId="0" applyFont="1" applyFill="1" applyBorder="1" applyAlignment="1">
      <alignment vertical="center"/>
    </xf>
    <xf numFmtId="0" fontId="4" fillId="35" borderId="10" xfId="0" applyFont="1" applyFill="1" applyBorder="1" applyAlignment="1">
      <alignment vertical="center"/>
    </xf>
    <xf numFmtId="2" fontId="4" fillId="34" borderId="11" xfId="0" applyNumberFormat="1" applyFont="1" applyFill="1" applyBorder="1" applyAlignment="1">
      <alignment vertical="center"/>
    </xf>
    <xf numFmtId="2" fontId="5" fillId="35" borderId="10" xfId="0" applyNumberFormat="1" applyFont="1" applyFill="1" applyBorder="1" applyAlignment="1">
      <alignment vertical="center"/>
    </xf>
    <xf numFmtId="0" fontId="0" fillId="35" borderId="10" xfId="0" applyFont="1" applyFill="1" applyBorder="1" applyAlignment="1">
      <alignment vertical="center"/>
    </xf>
    <xf numFmtId="0" fontId="4" fillId="33" borderId="11" xfId="0" applyFont="1" applyFill="1" applyBorder="1" applyAlignment="1">
      <alignment vertical="center"/>
    </xf>
    <xf numFmtId="0" fontId="7" fillId="35" borderId="12" xfId="0" applyFont="1" applyFill="1" applyBorder="1" applyAlignment="1">
      <alignment horizontal="left" vertical="center"/>
    </xf>
    <xf numFmtId="0" fontId="4" fillId="34" borderId="13" xfId="0" applyFont="1" applyFill="1" applyBorder="1" applyAlignment="1">
      <alignment horizontal="center" vertical="center"/>
    </xf>
    <xf numFmtId="0" fontId="6" fillId="35" borderId="16" xfId="0" applyFont="1" applyFill="1" applyBorder="1" applyAlignment="1">
      <alignment horizontal="left" vertical="center"/>
    </xf>
    <xf numFmtId="0" fontId="7" fillId="35" borderId="16" xfId="0" applyFont="1" applyFill="1" applyBorder="1" applyAlignment="1">
      <alignment horizontal="left" vertical="center"/>
    </xf>
    <xf numFmtId="0" fontId="6" fillId="35" borderId="12" xfId="0" applyFont="1" applyFill="1" applyBorder="1" applyAlignment="1">
      <alignment horizontal="left" vertical="center"/>
    </xf>
    <xf numFmtId="0" fontId="4" fillId="35" borderId="10" xfId="0" applyFont="1" applyFill="1" applyBorder="1" applyAlignment="1">
      <alignment horizontal="center" vertical="center"/>
    </xf>
    <xf numFmtId="0" fontId="4" fillId="35" borderId="0" xfId="0" applyFont="1" applyFill="1" applyAlignment="1">
      <alignment horizontal="center" vertical="center"/>
    </xf>
    <xf numFmtId="0" fontId="4" fillId="0" borderId="0" xfId="0" applyFont="1" applyAlignment="1">
      <alignment horizontal="center" vertical="center"/>
    </xf>
    <xf numFmtId="0" fontId="4" fillId="34" borderId="0" xfId="0" applyFont="1" applyFill="1" applyAlignment="1">
      <alignment vertical="center"/>
    </xf>
    <xf numFmtId="0" fontId="4" fillId="0" borderId="10" xfId="0" applyNumberFormat="1" applyFont="1" applyBorder="1" applyAlignment="1">
      <alignment horizontal="centerContinuous"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2" fontId="6" fillId="35" borderId="12" xfId="0" applyNumberFormat="1" applyFont="1" applyFill="1" applyBorder="1" applyAlignment="1">
      <alignment horizontal="centerContinuous" vertical="center"/>
    </xf>
    <xf numFmtId="1" fontId="4" fillId="35" borderId="12" xfId="0" applyNumberFormat="1" applyFont="1" applyFill="1" applyBorder="1" applyAlignment="1">
      <alignment horizontal="center" vertical="center"/>
    </xf>
    <xf numFmtId="0" fontId="4" fillId="34" borderId="14" xfId="0" applyFont="1" applyFill="1" applyBorder="1" applyAlignment="1">
      <alignment horizontal="center" vertical="center"/>
    </xf>
    <xf numFmtId="0" fontId="0" fillId="0" borderId="14" xfId="0" applyFont="1" applyBorder="1" applyAlignment="1">
      <alignment vertical="center"/>
    </xf>
    <xf numFmtId="0" fontId="6" fillId="35" borderId="12" xfId="0" applyNumberFormat="1" applyFont="1" applyFill="1" applyBorder="1" applyAlignment="1">
      <alignment horizontal="centerContinuous" vertical="center"/>
    </xf>
    <xf numFmtId="0" fontId="7" fillId="35" borderId="12" xfId="0" applyFont="1" applyFill="1" applyBorder="1" applyAlignment="1">
      <alignment horizontal="center" vertical="center"/>
    </xf>
    <xf numFmtId="0" fontId="5" fillId="35" borderId="12" xfId="0" applyFont="1" applyFill="1" applyBorder="1" applyAlignment="1">
      <alignment horizontal="center" vertical="center"/>
    </xf>
    <xf numFmtId="0" fontId="4" fillId="34" borderId="12" xfId="0" applyFont="1" applyFill="1" applyBorder="1" applyAlignment="1">
      <alignment horizontal="center" vertical="center"/>
    </xf>
    <xf numFmtId="0" fontId="4" fillId="35" borderId="12" xfId="0" applyFont="1" applyFill="1" applyBorder="1" applyAlignment="1">
      <alignment horizontal="center" vertical="center"/>
    </xf>
    <xf numFmtId="2" fontId="4" fillId="0" borderId="11" xfId="0" applyNumberFormat="1" applyFont="1" applyBorder="1" applyAlignment="1">
      <alignment vertical="center"/>
    </xf>
    <xf numFmtId="0" fontId="6" fillId="35" borderId="12"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14" xfId="0" applyNumberFormat="1" applyFont="1" applyFill="1" applyBorder="1" applyAlignment="1">
      <alignment horizontal="centerContinuous" vertical="center"/>
    </xf>
    <xf numFmtId="0" fontId="4" fillId="35" borderId="10"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0" xfId="0" applyFont="1" applyFill="1" applyAlignment="1">
      <alignment horizontal="center" vertical="center"/>
    </xf>
    <xf numFmtId="0" fontId="6" fillId="35" borderId="14" xfId="0" applyNumberFormat="1" applyFont="1" applyFill="1" applyBorder="1" applyAlignment="1">
      <alignment horizontal="centerContinuous" vertical="center"/>
    </xf>
    <xf numFmtId="0" fontId="6" fillId="35" borderId="13" xfId="0" applyFont="1" applyFill="1" applyBorder="1" applyAlignment="1">
      <alignment horizontal="center" vertical="center"/>
    </xf>
    <xf numFmtId="0" fontId="0" fillId="0" borderId="10" xfId="0" applyNumberFormat="1" applyFont="1" applyBorder="1" applyAlignment="1">
      <alignment horizontal="centerContinuous" vertical="center"/>
    </xf>
    <xf numFmtId="0" fontId="4" fillId="0" borderId="10"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35" borderId="16" xfId="0" applyFont="1" applyFill="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horizontal="center" vertical="center"/>
    </xf>
    <xf numFmtId="0" fontId="0" fillId="35" borderId="0" xfId="0" applyFont="1" applyFill="1" applyAlignment="1">
      <alignment vertical="center"/>
    </xf>
    <xf numFmtId="0" fontId="5" fillId="35" borderId="11" xfId="0" applyFont="1" applyFill="1" applyBorder="1" applyAlignment="1">
      <alignment horizontal="center" vertical="center"/>
    </xf>
    <xf numFmtId="0" fontId="4" fillId="0" borderId="16" xfId="0" applyFont="1" applyBorder="1" applyAlignment="1">
      <alignment horizontal="right" vertical="center"/>
    </xf>
    <xf numFmtId="0" fontId="0" fillId="0" borderId="0" xfId="0" applyFont="1" applyAlignment="1">
      <alignment vertical="center"/>
    </xf>
    <xf numFmtId="0" fontId="0" fillId="0" borderId="0" xfId="0" applyAlignment="1">
      <alignment vertical="center"/>
    </xf>
    <xf numFmtId="0" fontId="0" fillId="0" borderId="0" xfId="0" applyNumberFormat="1" applyFont="1" applyAlignment="1" applyProtection="1">
      <alignment vertical="center"/>
      <protection locked="0"/>
    </xf>
    <xf numFmtId="0" fontId="4" fillId="0" borderId="11" xfId="0" applyFont="1" applyBorder="1" applyAlignment="1">
      <alignment horizontal="center" vertical="center"/>
    </xf>
    <xf numFmtId="0" fontId="5" fillId="34" borderId="10" xfId="0" applyFont="1" applyFill="1" applyBorder="1" applyAlignment="1">
      <alignment vertical="center"/>
    </xf>
    <xf numFmtId="0" fontId="0" fillId="34" borderId="10" xfId="0" applyFont="1" applyFill="1" applyBorder="1" applyAlignment="1">
      <alignment vertical="center"/>
    </xf>
    <xf numFmtId="0" fontId="0" fillId="0" borderId="16"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0" fillId="0" borderId="10" xfId="0" applyFont="1" applyBorder="1" applyAlignment="1">
      <alignment vertical="center"/>
    </xf>
    <xf numFmtId="0" fontId="4" fillId="0" borderId="16" xfId="0" applyFont="1" applyBorder="1" applyAlignment="1">
      <alignment vertical="center"/>
    </xf>
    <xf numFmtId="0" fontId="4" fillId="0" borderId="0" xfId="0" applyFont="1" applyAlignment="1">
      <alignment vertical="center"/>
    </xf>
    <xf numFmtId="0" fontId="4" fillId="0" borderId="11" xfId="0" applyNumberFormat="1" applyFont="1" applyBorder="1" applyAlignment="1">
      <alignment horizontal="centerContinuous" vertical="center"/>
    </xf>
    <xf numFmtId="0" fontId="4" fillId="0" borderId="0" xfId="0" applyFont="1" applyAlignment="1">
      <alignment horizontal="right" vertical="center"/>
    </xf>
    <xf numFmtId="0" fontId="4" fillId="0" borderId="10" xfId="0" applyNumberFormat="1" applyFont="1" applyBorder="1" applyAlignment="1">
      <alignment horizontal="centerContinuous" vertical="center"/>
    </xf>
    <xf numFmtId="0" fontId="5" fillId="34" borderId="11" xfId="0" applyFont="1" applyFill="1" applyBorder="1" applyAlignment="1">
      <alignment horizontal="center" vertical="center"/>
    </xf>
    <xf numFmtId="2" fontId="4" fillId="33" borderId="12" xfId="0" applyNumberFormat="1" applyFont="1" applyFill="1" applyBorder="1" applyAlignment="1">
      <alignment vertical="center"/>
    </xf>
    <xf numFmtId="0" fontId="4" fillId="0" borderId="17" xfId="0" applyFont="1" applyBorder="1" applyAlignment="1">
      <alignment vertical="center"/>
    </xf>
    <xf numFmtId="0" fontId="5" fillId="34" borderId="18" xfId="0" applyFont="1" applyFill="1" applyBorder="1" applyAlignment="1">
      <alignment horizontal="center" vertical="center"/>
    </xf>
    <xf numFmtId="0" fontId="4" fillId="0" borderId="19" xfId="0" applyFont="1" applyBorder="1" applyAlignment="1">
      <alignment vertical="center"/>
    </xf>
    <xf numFmtId="177" fontId="4" fillId="35" borderId="18" xfId="0" applyNumberFormat="1" applyFont="1" applyFill="1" applyBorder="1" applyAlignment="1">
      <alignment horizontal="center" vertical="center"/>
    </xf>
    <xf numFmtId="177" fontId="4" fillId="35" borderId="20"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35" borderId="18" xfId="0" applyFont="1" applyFill="1" applyBorder="1" applyAlignment="1">
      <alignment horizontal="center" vertical="center"/>
    </xf>
    <xf numFmtId="0" fontId="4" fillId="35" borderId="20" xfId="0" applyFont="1" applyFill="1" applyBorder="1" applyAlignment="1">
      <alignment horizontal="center" vertical="center"/>
    </xf>
    <xf numFmtId="2" fontId="4" fillId="0" borderId="18" xfId="0" applyNumberFormat="1" applyFont="1" applyBorder="1" applyAlignment="1">
      <alignment vertical="center"/>
    </xf>
    <xf numFmtId="2" fontId="4" fillId="0" borderId="20" xfId="0" applyNumberFormat="1" applyFont="1" applyBorder="1" applyAlignment="1">
      <alignment vertical="center"/>
    </xf>
    <xf numFmtId="177" fontId="4" fillId="35" borderId="21" xfId="0" applyNumberFormat="1" applyFont="1" applyFill="1" applyBorder="1" applyAlignment="1">
      <alignment horizontal="center" vertical="center"/>
    </xf>
    <xf numFmtId="0" fontId="4" fillId="0" borderId="21" xfId="0" applyFont="1" applyBorder="1" applyAlignment="1">
      <alignment horizontal="center" vertical="center"/>
    </xf>
    <xf numFmtId="0" fontId="4" fillId="35" borderId="21" xfId="0" applyFont="1" applyFill="1" applyBorder="1" applyAlignment="1">
      <alignment horizontal="center" vertical="center"/>
    </xf>
    <xf numFmtId="2" fontId="4" fillId="0" borderId="21" xfId="0" applyNumberFormat="1" applyFont="1" applyBorder="1" applyAlignment="1">
      <alignment vertical="center"/>
    </xf>
    <xf numFmtId="0" fontId="4" fillId="33"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34" borderId="22"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0" borderId="29" xfId="0" applyFont="1" applyBorder="1" applyAlignment="1">
      <alignment horizontal="center" vertical="center"/>
    </xf>
    <xf numFmtId="0" fontId="4" fillId="0" borderId="27" xfId="0" applyNumberFormat="1" applyFont="1" applyBorder="1" applyAlignment="1">
      <alignment horizontal="centerContinuous" vertical="center"/>
    </xf>
    <xf numFmtId="0" fontId="4" fillId="0" borderId="28" xfId="0" applyNumberFormat="1" applyFont="1" applyBorder="1" applyAlignment="1">
      <alignment horizontal="centerContinuous" vertical="center"/>
    </xf>
    <xf numFmtId="0" fontId="5" fillId="34" borderId="27" xfId="0" applyFont="1" applyFill="1" applyBorder="1" applyAlignment="1">
      <alignment horizontal="center" vertical="center"/>
    </xf>
    <xf numFmtId="0" fontId="4" fillId="0" borderId="28" xfId="0" applyFont="1" applyBorder="1" applyAlignment="1">
      <alignment vertical="center"/>
    </xf>
    <xf numFmtId="0" fontId="4" fillId="0" borderId="30" xfId="0" applyFont="1" applyBorder="1" applyAlignment="1">
      <alignment vertical="center"/>
    </xf>
    <xf numFmtId="0" fontId="5" fillId="34" borderId="31" xfId="0" applyFont="1" applyFill="1" applyBorder="1" applyAlignment="1">
      <alignment horizontal="center" vertical="center"/>
    </xf>
    <xf numFmtId="0" fontId="4" fillId="0" borderId="32" xfId="0" applyFont="1" applyBorder="1" applyAlignment="1">
      <alignment vertical="center"/>
    </xf>
    <xf numFmtId="0" fontId="5" fillId="33" borderId="31" xfId="0" applyFont="1" applyFill="1" applyBorder="1" applyAlignment="1">
      <alignment horizontal="center" vertical="center"/>
    </xf>
    <xf numFmtId="0" fontId="4" fillId="0" borderId="30" xfId="0" applyFont="1" applyBorder="1" applyAlignment="1">
      <alignment horizontal="center" vertical="center"/>
    </xf>
    <xf numFmtId="0" fontId="5" fillId="35" borderId="31" xfId="0" applyFont="1" applyFill="1" applyBorder="1" applyAlignment="1">
      <alignment horizontal="center" vertical="center"/>
    </xf>
    <xf numFmtId="0" fontId="4" fillId="0" borderId="33" xfId="0" applyFont="1" applyBorder="1" applyAlignment="1">
      <alignment vertical="center"/>
    </xf>
    <xf numFmtId="0" fontId="4" fillId="35" borderId="30" xfId="0" applyFont="1" applyFill="1" applyBorder="1" applyAlignment="1">
      <alignment vertical="center"/>
    </xf>
    <xf numFmtId="0" fontId="4" fillId="0" borderId="34" xfId="0" applyFont="1" applyBorder="1" applyAlignment="1">
      <alignment vertical="center"/>
    </xf>
    <xf numFmtId="0" fontId="4" fillId="33" borderId="31"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2" xfId="0" applyFont="1" applyFill="1" applyBorder="1" applyAlignment="1">
      <alignment horizontal="center" vertical="center"/>
    </xf>
    <xf numFmtId="0" fontId="4" fillId="35" borderId="34" xfId="0" applyFont="1" applyFill="1" applyBorder="1" applyAlignment="1">
      <alignment vertical="center"/>
    </xf>
    <xf numFmtId="0" fontId="4" fillId="33" borderId="31"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2" xfId="0" applyFont="1" applyFill="1" applyBorder="1" applyAlignment="1">
      <alignment horizontal="center" vertical="center"/>
    </xf>
    <xf numFmtId="0" fontId="4" fillId="35" borderId="31" xfId="0" applyFont="1" applyFill="1" applyBorder="1" applyAlignment="1">
      <alignment horizontal="center" vertical="center"/>
    </xf>
    <xf numFmtId="0" fontId="4" fillId="35" borderId="33" xfId="0" applyFont="1" applyFill="1" applyBorder="1" applyAlignment="1">
      <alignment horizontal="center" vertical="center"/>
    </xf>
    <xf numFmtId="0" fontId="4" fillId="35" borderId="32" xfId="0" applyFont="1" applyFill="1" applyBorder="1" applyAlignment="1">
      <alignment horizontal="center" vertical="center"/>
    </xf>
    <xf numFmtId="0" fontId="4" fillId="0" borderId="35" xfId="0" applyFont="1" applyBorder="1" applyAlignment="1">
      <alignment vertical="center"/>
    </xf>
    <xf numFmtId="0" fontId="5" fillId="33" borderId="33" xfId="0" applyFont="1" applyFill="1" applyBorder="1" applyAlignment="1">
      <alignment horizontal="center" vertical="center"/>
    </xf>
    <xf numFmtId="0" fontId="5" fillId="33" borderId="32" xfId="0" applyFont="1" applyFill="1" applyBorder="1" applyAlignment="1">
      <alignment horizontal="center" vertical="center"/>
    </xf>
    <xf numFmtId="2" fontId="4" fillId="0" borderId="31" xfId="0" applyNumberFormat="1" applyFont="1" applyBorder="1" applyAlignment="1">
      <alignment vertical="center"/>
    </xf>
    <xf numFmtId="2" fontId="4" fillId="0" borderId="33" xfId="0" applyNumberFormat="1" applyFont="1" applyBorder="1" applyAlignment="1">
      <alignment vertical="center"/>
    </xf>
    <xf numFmtId="2" fontId="4" fillId="0" borderId="32" xfId="0" applyNumberFormat="1" applyFont="1" applyBorder="1" applyAlignment="1">
      <alignment vertical="center"/>
    </xf>
    <xf numFmtId="0" fontId="4" fillId="0" borderId="36" xfId="0" applyFont="1" applyBorder="1" applyAlignment="1">
      <alignment vertical="center"/>
    </xf>
    <xf numFmtId="0" fontId="4" fillId="33" borderId="30" xfId="0" applyFont="1" applyFill="1" applyBorder="1" applyAlignment="1">
      <alignment horizontal="center" vertical="center"/>
    </xf>
    <xf numFmtId="0" fontId="4" fillId="35" borderId="36" xfId="0" applyFont="1" applyFill="1" applyBorder="1" applyAlignment="1">
      <alignment horizontal="center" vertical="center"/>
    </xf>
    <xf numFmtId="0" fontId="4" fillId="0" borderId="37" xfId="0" applyFont="1" applyBorder="1" applyAlignment="1">
      <alignment vertical="center"/>
    </xf>
    <xf numFmtId="0" fontId="4" fillId="34" borderId="30" xfId="0" applyFont="1" applyFill="1" applyBorder="1" applyAlignment="1">
      <alignment vertical="center"/>
    </xf>
    <xf numFmtId="0" fontId="4" fillId="34" borderId="35" xfId="0" applyFont="1" applyFill="1" applyBorder="1" applyAlignment="1">
      <alignment vertical="center"/>
    </xf>
    <xf numFmtId="0" fontId="4" fillId="34" borderId="31"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32" xfId="0" applyFont="1" applyFill="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5" fillId="35" borderId="36" xfId="0" applyFont="1" applyFill="1" applyBorder="1" applyAlignment="1">
      <alignment horizontal="center" vertical="center"/>
    </xf>
    <xf numFmtId="2" fontId="4" fillId="0" borderId="36" xfId="0" applyNumberFormat="1" applyFont="1" applyBorder="1" applyAlignment="1">
      <alignment vertical="center"/>
    </xf>
    <xf numFmtId="0" fontId="5" fillId="35" borderId="33" xfId="0" applyFont="1" applyFill="1" applyBorder="1" applyAlignment="1">
      <alignment horizontal="center" vertical="center"/>
    </xf>
    <xf numFmtId="0" fontId="5" fillId="35" borderId="32" xfId="0" applyFont="1" applyFill="1" applyBorder="1" applyAlignment="1">
      <alignment horizontal="center" vertical="center"/>
    </xf>
    <xf numFmtId="0" fontId="4" fillId="34" borderId="34" xfId="0" applyFont="1" applyFill="1" applyBorder="1" applyAlignment="1">
      <alignment vertical="center"/>
    </xf>
    <xf numFmtId="176" fontId="4" fillId="34" borderId="31" xfId="0" applyNumberFormat="1" applyFont="1" applyFill="1" applyBorder="1" applyAlignment="1">
      <alignment vertical="center"/>
    </xf>
    <xf numFmtId="176" fontId="4" fillId="34" borderId="33" xfId="0" applyNumberFormat="1" applyFont="1" applyFill="1" applyBorder="1" applyAlignment="1">
      <alignment vertical="center"/>
    </xf>
    <xf numFmtId="176" fontId="4" fillId="34" borderId="32" xfId="0" applyNumberFormat="1" applyFont="1" applyFill="1" applyBorder="1" applyAlignment="1">
      <alignment vertical="center"/>
    </xf>
    <xf numFmtId="176" fontId="4" fillId="35" borderId="36" xfId="0" applyNumberFormat="1" applyFont="1" applyFill="1" applyBorder="1" applyAlignment="1">
      <alignment vertical="center"/>
    </xf>
    <xf numFmtId="0" fontId="4" fillId="35" borderId="36" xfId="0" applyFont="1" applyFill="1" applyBorder="1" applyAlignment="1">
      <alignment horizontal="center" vertical="center"/>
    </xf>
    <xf numFmtId="0" fontId="4" fillId="0" borderId="38" xfId="0" applyFont="1" applyBorder="1" applyAlignment="1">
      <alignment horizontal="center"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0" borderId="40" xfId="0" applyNumberFormat="1" applyFont="1" applyBorder="1" applyAlignment="1">
      <alignment horizontal="centerContinuous" vertical="center"/>
    </xf>
    <xf numFmtId="0" fontId="4" fillId="33" borderId="40" xfId="0" applyFont="1" applyFill="1" applyBorder="1" applyAlignment="1">
      <alignment horizontal="center" vertical="center"/>
    </xf>
    <xf numFmtId="0" fontId="4" fillId="0" borderId="39" xfId="0" applyFont="1" applyBorder="1" applyAlignment="1">
      <alignment vertical="center"/>
    </xf>
    <xf numFmtId="0" fontId="4" fillId="0" borderId="41" xfId="0" applyFont="1" applyBorder="1" applyAlignment="1">
      <alignment horizontal="center" vertical="center"/>
    </xf>
    <xf numFmtId="0" fontId="4" fillId="0" borderId="42" xfId="0" applyFont="1" applyBorder="1" applyAlignment="1">
      <alignment vertical="center"/>
    </xf>
    <xf numFmtId="0" fontId="4" fillId="0" borderId="42" xfId="0" applyFont="1" applyBorder="1" applyAlignment="1">
      <alignment horizontal="center" vertical="center"/>
    </xf>
    <xf numFmtId="0" fontId="4" fillId="0" borderId="24" xfId="0" applyNumberFormat="1" applyFont="1" applyBorder="1" applyAlignment="1">
      <alignment horizontal="centerContinuous" vertical="center"/>
    </xf>
    <xf numFmtId="0" fontId="0" fillId="0" borderId="27" xfId="0" applyNumberFormat="1" applyFont="1" applyBorder="1" applyAlignment="1">
      <alignment horizontal="centerContinuous" vertical="center"/>
    </xf>
    <xf numFmtId="0" fontId="4" fillId="0" borderId="27" xfId="0" applyFont="1" applyBorder="1" applyAlignment="1">
      <alignment horizontal="center" vertical="center"/>
    </xf>
    <xf numFmtId="0" fontId="4" fillId="0" borderId="27" xfId="0" applyFont="1" applyBorder="1" applyAlignment="1">
      <alignment vertical="center"/>
    </xf>
    <xf numFmtId="0" fontId="4" fillId="0" borderId="22" xfId="0" applyFont="1" applyBorder="1" applyAlignment="1">
      <alignment vertical="center"/>
    </xf>
    <xf numFmtId="0" fontId="4" fillId="0" borderId="22" xfId="0" applyFont="1" applyBorder="1" applyAlignment="1">
      <alignment horizontal="left" vertical="center"/>
    </xf>
    <xf numFmtId="0" fontId="4" fillId="0" borderId="31" xfId="0" applyFont="1" applyBorder="1" applyAlignment="1">
      <alignment vertical="center"/>
    </xf>
    <xf numFmtId="0" fontId="6" fillId="0" borderId="30" xfId="0" applyNumberFormat="1" applyFont="1" applyBorder="1" applyAlignment="1">
      <alignment horizontal="centerContinuous" vertical="center"/>
    </xf>
    <xf numFmtId="0" fontId="4" fillId="0" borderId="35" xfId="0" applyNumberFormat="1" applyFont="1" applyBorder="1" applyAlignment="1">
      <alignment horizontal="centerContinuous" vertical="center"/>
    </xf>
    <xf numFmtId="0" fontId="4" fillId="0" borderId="34" xfId="0" applyFont="1" applyBorder="1" applyAlignment="1">
      <alignment horizontal="left" vertical="center"/>
    </xf>
    <xf numFmtId="0" fontId="4" fillId="0" borderId="37" xfId="0" applyFont="1" applyBorder="1" applyAlignment="1">
      <alignment horizontal="center" vertical="center"/>
    </xf>
    <xf numFmtId="0" fontId="7" fillId="35" borderId="30" xfId="0" applyFont="1" applyFill="1" applyBorder="1" applyAlignment="1">
      <alignment horizontal="center" vertical="center"/>
    </xf>
    <xf numFmtId="0" fontId="5" fillId="35" borderId="30" xfId="0" applyNumberFormat="1" applyFont="1" applyFill="1" applyBorder="1" applyAlignment="1">
      <alignment horizontal="centerContinuous" vertical="center"/>
    </xf>
    <xf numFmtId="0" fontId="5" fillId="35" borderId="35" xfId="0" applyNumberFormat="1" applyFont="1" applyFill="1" applyBorder="1" applyAlignment="1">
      <alignment horizontal="centerContinuous" vertical="center"/>
    </xf>
    <xf numFmtId="0" fontId="0" fillId="0" borderId="37" xfId="0" applyNumberFormat="1" applyFont="1" applyBorder="1" applyAlignment="1">
      <alignment horizontal="centerContinuous" vertical="center"/>
    </xf>
    <xf numFmtId="0" fontId="6" fillId="35" borderId="30" xfId="0" applyNumberFormat="1" applyFont="1" applyFill="1" applyBorder="1" applyAlignment="1">
      <alignment horizontal="centerContinuous" vertical="center"/>
    </xf>
    <xf numFmtId="0" fontId="6" fillId="35" borderId="35" xfId="0" applyNumberFormat="1" applyFont="1" applyFill="1" applyBorder="1" applyAlignment="1">
      <alignment horizontal="centerContinuous" vertical="center"/>
    </xf>
    <xf numFmtId="0" fontId="4" fillId="35" borderId="30" xfId="0" applyFont="1" applyFill="1" applyBorder="1" applyAlignment="1">
      <alignment horizontal="center" vertical="center"/>
    </xf>
    <xf numFmtId="0" fontId="4" fillId="35" borderId="34" xfId="0" applyFont="1" applyFill="1" applyBorder="1" applyAlignment="1">
      <alignment horizontal="center" vertical="center"/>
    </xf>
    <xf numFmtId="0" fontId="4" fillId="35" borderId="43" xfId="0" applyFont="1" applyFill="1" applyBorder="1" applyAlignment="1">
      <alignment horizontal="center" vertical="center"/>
    </xf>
    <xf numFmtId="0" fontId="6" fillId="35" borderId="30" xfId="0" applyFont="1" applyFill="1" applyBorder="1" applyAlignment="1">
      <alignment horizontal="center" vertical="center"/>
    </xf>
    <xf numFmtId="0" fontId="6" fillId="35" borderId="34"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43" xfId="0" applyFont="1" applyFill="1" applyBorder="1" applyAlignment="1">
      <alignment horizontal="center" vertical="center"/>
    </xf>
    <xf numFmtId="0" fontId="4" fillId="35" borderId="35" xfId="0" applyNumberFormat="1" applyFont="1" applyFill="1" applyBorder="1" applyAlignment="1">
      <alignment horizontal="centerContinuous" vertical="center"/>
    </xf>
    <xf numFmtId="176" fontId="4" fillId="33" borderId="30" xfId="0" applyNumberFormat="1" applyFont="1" applyFill="1" applyBorder="1" applyAlignment="1">
      <alignment horizontal="center" vertical="center"/>
    </xf>
    <xf numFmtId="176" fontId="4" fillId="33" borderId="34" xfId="0" applyNumberFormat="1" applyFont="1" applyFill="1" applyBorder="1" applyAlignment="1">
      <alignment horizontal="centerContinuous" vertical="center"/>
    </xf>
    <xf numFmtId="176" fontId="4" fillId="33" borderId="43" xfId="0" applyNumberFormat="1" applyFont="1" applyFill="1" applyBorder="1" applyAlignment="1">
      <alignment horizontal="centerContinuous" vertical="center"/>
    </xf>
    <xf numFmtId="0" fontId="7" fillId="35" borderId="30" xfId="0" applyFont="1" applyFill="1" applyBorder="1" applyAlignment="1">
      <alignment horizontal="left" vertical="center"/>
    </xf>
    <xf numFmtId="0" fontId="4" fillId="34" borderId="30" xfId="0" applyFont="1" applyFill="1" applyBorder="1" applyAlignment="1">
      <alignment horizontal="center" vertical="center"/>
    </xf>
    <xf numFmtId="0" fontId="4" fillId="34" borderId="34" xfId="0" applyFont="1" applyFill="1" applyBorder="1" applyAlignment="1">
      <alignment horizontal="center" vertical="center"/>
    </xf>
    <xf numFmtId="0" fontId="4" fillId="34" borderId="43" xfId="0" applyFont="1" applyFill="1" applyBorder="1" applyAlignment="1">
      <alignment horizontal="center" vertical="center"/>
    </xf>
    <xf numFmtId="0" fontId="6" fillId="35" borderId="30" xfId="0" applyFont="1" applyFill="1" applyBorder="1" applyAlignment="1">
      <alignment horizontal="left" vertical="center"/>
    </xf>
    <xf numFmtId="0" fontId="6" fillId="35" borderId="35" xfId="0" applyFont="1" applyFill="1" applyBorder="1" applyAlignment="1">
      <alignment horizontal="left" vertical="center"/>
    </xf>
    <xf numFmtId="0" fontId="4" fillId="34" borderId="35" xfId="0" applyFont="1" applyFill="1" applyBorder="1" applyAlignment="1">
      <alignment horizontal="center" vertical="center"/>
    </xf>
    <xf numFmtId="0" fontId="0" fillId="0" borderId="37" xfId="0" applyFont="1" applyBorder="1" applyAlignment="1">
      <alignment vertical="center"/>
    </xf>
    <xf numFmtId="0" fontId="4" fillId="33" borderId="28" xfId="0" applyFont="1" applyFill="1" applyBorder="1" applyAlignment="1">
      <alignment horizontal="center" vertical="center"/>
    </xf>
    <xf numFmtId="0" fontId="4" fillId="33" borderId="33" xfId="0" applyFont="1" applyFill="1" applyBorder="1" applyAlignment="1">
      <alignment vertical="center"/>
    </xf>
    <xf numFmtId="0" fontId="4" fillId="33" borderId="21" xfId="0" applyFont="1" applyFill="1" applyBorder="1" applyAlignment="1">
      <alignment vertical="center"/>
    </xf>
    <xf numFmtId="0" fontId="4" fillId="33" borderId="44" xfId="0" applyFont="1" applyFill="1" applyBorder="1" applyAlignment="1">
      <alignment vertical="center"/>
    </xf>
    <xf numFmtId="0" fontId="4" fillId="33" borderId="35" xfId="0" applyFont="1" applyFill="1" applyBorder="1" applyAlignment="1">
      <alignment horizontal="center" vertical="center"/>
    </xf>
    <xf numFmtId="0" fontId="4" fillId="33" borderId="35" xfId="0" applyFont="1" applyFill="1" applyBorder="1" applyAlignment="1">
      <alignment vertical="center"/>
    </xf>
    <xf numFmtId="0" fontId="4" fillId="33" borderId="14" xfId="0" applyFont="1" applyFill="1" applyBorder="1" applyAlignment="1">
      <alignment vertical="center"/>
    </xf>
    <xf numFmtId="0" fontId="4" fillId="33" borderId="31" xfId="0" applyFont="1" applyFill="1" applyBorder="1" applyAlignment="1">
      <alignment vertical="center"/>
    </xf>
    <xf numFmtId="0" fontId="4" fillId="33" borderId="18" xfId="0" applyFont="1" applyFill="1" applyBorder="1" applyAlignment="1">
      <alignment vertical="center"/>
    </xf>
    <xf numFmtId="0" fontId="4" fillId="33" borderId="45" xfId="0" applyFont="1" applyFill="1" applyBorder="1" applyAlignment="1">
      <alignment vertical="center"/>
    </xf>
    <xf numFmtId="0" fontId="4" fillId="33" borderId="32" xfId="0" applyFont="1" applyFill="1" applyBorder="1" applyAlignment="1">
      <alignment vertical="center"/>
    </xf>
    <xf numFmtId="0" fontId="4" fillId="33" borderId="20" xfId="0" applyFont="1" applyFill="1" applyBorder="1" applyAlignment="1">
      <alignment vertical="center"/>
    </xf>
    <xf numFmtId="0" fontId="4" fillId="33" borderId="46" xfId="0" applyFont="1" applyFill="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35" borderId="47" xfId="0" applyFont="1" applyFill="1" applyBorder="1" applyAlignment="1">
      <alignment horizontal="center" vertical="center"/>
    </xf>
    <xf numFmtId="177" fontId="4" fillId="35" borderId="48" xfId="0" applyNumberFormat="1" applyFont="1" applyFill="1" applyBorder="1" applyAlignment="1">
      <alignment horizontal="center" vertical="center"/>
    </xf>
    <xf numFmtId="0" fontId="4" fillId="0" borderId="48" xfId="0" applyFont="1" applyBorder="1" applyAlignment="1">
      <alignment horizontal="center" vertical="center"/>
    </xf>
    <xf numFmtId="0" fontId="4" fillId="35" borderId="48" xfId="0" applyFont="1" applyFill="1" applyBorder="1" applyAlignment="1">
      <alignment horizontal="center" vertical="center"/>
    </xf>
    <xf numFmtId="2" fontId="4" fillId="0" borderId="48" xfId="0" applyNumberFormat="1" applyFont="1" applyBorder="1" applyAlignment="1">
      <alignment vertical="center"/>
    </xf>
    <xf numFmtId="0" fontId="4" fillId="35" borderId="49" xfId="0" applyFont="1" applyFill="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forum-design.co.jp/" TargetMode="External" /><Relationship Id="rId3" Type="http://schemas.openxmlformats.org/officeDocument/2006/relationships/hyperlink" Target="http://www.forum-design.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17</xdr:row>
      <xdr:rowOff>0</xdr:rowOff>
    </xdr:from>
    <xdr:to>
      <xdr:col>7</xdr:col>
      <xdr:colOff>0</xdr:colOff>
      <xdr:row>39</xdr:row>
      <xdr:rowOff>0</xdr:rowOff>
    </xdr:to>
    <xdr:sp>
      <xdr:nvSpPr>
        <xdr:cNvPr id="1" name="Line 1"/>
        <xdr:cNvSpPr>
          <a:spLocks/>
        </xdr:cNvSpPr>
      </xdr:nvSpPr>
      <xdr:spPr>
        <a:xfrm flipH="1">
          <a:off x="7534275" y="5581650"/>
          <a:ext cx="819150" cy="5238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561975</xdr:colOff>
      <xdr:row>50</xdr:row>
      <xdr:rowOff>219075</xdr:rowOff>
    </xdr:from>
    <xdr:to>
      <xdr:col>0</xdr:col>
      <xdr:colOff>1123950</xdr:colOff>
      <xdr:row>55</xdr:row>
      <xdr:rowOff>200025</xdr:rowOff>
    </xdr:to>
    <xdr:sp>
      <xdr:nvSpPr>
        <xdr:cNvPr id="2" name="Rectangle 5"/>
        <xdr:cNvSpPr>
          <a:spLocks/>
        </xdr:cNvSpPr>
      </xdr:nvSpPr>
      <xdr:spPr>
        <a:xfrm>
          <a:off x="561975" y="13658850"/>
          <a:ext cx="561975"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438150</xdr:colOff>
      <xdr:row>49</xdr:row>
      <xdr:rowOff>219075</xdr:rowOff>
    </xdr:from>
    <xdr:to>
      <xdr:col>0</xdr:col>
      <xdr:colOff>1285875</xdr:colOff>
      <xdr:row>50</xdr:row>
      <xdr:rowOff>85725</xdr:rowOff>
    </xdr:to>
    <xdr:sp>
      <xdr:nvSpPr>
        <xdr:cNvPr id="3" name="Rectangle 6"/>
        <xdr:cNvSpPr>
          <a:spLocks/>
        </xdr:cNvSpPr>
      </xdr:nvSpPr>
      <xdr:spPr>
        <a:xfrm>
          <a:off x="438150" y="13420725"/>
          <a:ext cx="84772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428625</xdr:colOff>
      <xdr:row>56</xdr:row>
      <xdr:rowOff>95250</xdr:rowOff>
    </xdr:from>
    <xdr:to>
      <xdr:col>0</xdr:col>
      <xdr:colOff>1266825</xdr:colOff>
      <xdr:row>56</xdr:row>
      <xdr:rowOff>200025</xdr:rowOff>
    </xdr:to>
    <xdr:sp>
      <xdr:nvSpPr>
        <xdr:cNvPr id="4" name="Rectangle 7"/>
        <xdr:cNvSpPr>
          <a:spLocks/>
        </xdr:cNvSpPr>
      </xdr:nvSpPr>
      <xdr:spPr>
        <a:xfrm>
          <a:off x="428625" y="14963775"/>
          <a:ext cx="838200"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552450</xdr:colOff>
      <xdr:row>57</xdr:row>
      <xdr:rowOff>85725</xdr:rowOff>
    </xdr:from>
    <xdr:to>
      <xdr:col>0</xdr:col>
      <xdr:colOff>1104900</xdr:colOff>
      <xdr:row>59</xdr:row>
      <xdr:rowOff>123825</xdr:rowOff>
    </xdr:to>
    <xdr:sp>
      <xdr:nvSpPr>
        <xdr:cNvPr id="5" name="Rectangle 8" descr="右上がり対角線"/>
        <xdr:cNvSpPr>
          <a:spLocks/>
        </xdr:cNvSpPr>
      </xdr:nvSpPr>
      <xdr:spPr>
        <a:xfrm>
          <a:off x="552450" y="15192375"/>
          <a:ext cx="561975" cy="514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581025</xdr:colOff>
      <xdr:row>47</xdr:row>
      <xdr:rowOff>38100</xdr:rowOff>
    </xdr:from>
    <xdr:to>
      <xdr:col>0</xdr:col>
      <xdr:colOff>1143000</xdr:colOff>
      <xdr:row>49</xdr:row>
      <xdr:rowOff>85725</xdr:rowOff>
    </xdr:to>
    <xdr:sp>
      <xdr:nvSpPr>
        <xdr:cNvPr id="6" name="Rectangle 9"/>
        <xdr:cNvSpPr>
          <a:spLocks/>
        </xdr:cNvSpPr>
      </xdr:nvSpPr>
      <xdr:spPr>
        <a:xfrm>
          <a:off x="581025" y="12763500"/>
          <a:ext cx="561975" cy="523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438150</xdr:colOff>
      <xdr:row>49</xdr:row>
      <xdr:rowOff>66675</xdr:rowOff>
    </xdr:from>
    <xdr:to>
      <xdr:col>0</xdr:col>
      <xdr:colOff>581025</xdr:colOff>
      <xdr:row>49</xdr:row>
      <xdr:rowOff>219075</xdr:rowOff>
    </xdr:to>
    <xdr:sp>
      <xdr:nvSpPr>
        <xdr:cNvPr id="7" name="Line 10"/>
        <xdr:cNvSpPr>
          <a:spLocks/>
        </xdr:cNvSpPr>
      </xdr:nvSpPr>
      <xdr:spPr>
        <a:xfrm flipH="1">
          <a:off x="438150" y="13268325"/>
          <a:ext cx="142875"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390525</xdr:colOff>
      <xdr:row>55</xdr:row>
      <xdr:rowOff>209550</xdr:rowOff>
    </xdr:from>
    <xdr:to>
      <xdr:col>0</xdr:col>
      <xdr:colOff>552450</xdr:colOff>
      <xdr:row>56</xdr:row>
      <xdr:rowOff>104775</xdr:rowOff>
    </xdr:to>
    <xdr:sp>
      <xdr:nvSpPr>
        <xdr:cNvPr id="8" name="Line 11"/>
        <xdr:cNvSpPr>
          <a:spLocks/>
        </xdr:cNvSpPr>
      </xdr:nvSpPr>
      <xdr:spPr>
        <a:xfrm flipH="1">
          <a:off x="390525" y="14839950"/>
          <a:ext cx="1524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1104900</xdr:colOff>
      <xdr:row>56</xdr:row>
      <xdr:rowOff>209550</xdr:rowOff>
    </xdr:from>
    <xdr:to>
      <xdr:col>0</xdr:col>
      <xdr:colOff>1247775</xdr:colOff>
      <xdr:row>57</xdr:row>
      <xdr:rowOff>85725</xdr:rowOff>
    </xdr:to>
    <xdr:sp>
      <xdr:nvSpPr>
        <xdr:cNvPr id="9" name="Line 12"/>
        <xdr:cNvSpPr>
          <a:spLocks/>
        </xdr:cNvSpPr>
      </xdr:nvSpPr>
      <xdr:spPr>
        <a:xfrm flipH="1">
          <a:off x="1104900" y="15078075"/>
          <a:ext cx="14287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1123950</xdr:colOff>
      <xdr:row>50</xdr:row>
      <xdr:rowOff>66675</xdr:rowOff>
    </xdr:from>
    <xdr:to>
      <xdr:col>0</xdr:col>
      <xdr:colOff>1266825</xdr:colOff>
      <xdr:row>50</xdr:row>
      <xdr:rowOff>219075</xdr:rowOff>
    </xdr:to>
    <xdr:sp>
      <xdr:nvSpPr>
        <xdr:cNvPr id="10" name="Line 13"/>
        <xdr:cNvSpPr>
          <a:spLocks/>
        </xdr:cNvSpPr>
      </xdr:nvSpPr>
      <xdr:spPr>
        <a:xfrm flipH="1">
          <a:off x="1123950" y="13506450"/>
          <a:ext cx="142875"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1104900</xdr:colOff>
      <xdr:row>55</xdr:row>
      <xdr:rowOff>209550</xdr:rowOff>
    </xdr:from>
    <xdr:to>
      <xdr:col>0</xdr:col>
      <xdr:colOff>1285875</xdr:colOff>
      <xdr:row>56</xdr:row>
      <xdr:rowOff>95250</xdr:rowOff>
    </xdr:to>
    <xdr:sp>
      <xdr:nvSpPr>
        <xdr:cNvPr id="11" name="Line 14"/>
        <xdr:cNvSpPr>
          <a:spLocks/>
        </xdr:cNvSpPr>
      </xdr:nvSpPr>
      <xdr:spPr>
        <a:xfrm>
          <a:off x="1104900" y="14839950"/>
          <a:ext cx="18097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438150</xdr:colOff>
      <xdr:row>56</xdr:row>
      <xdr:rowOff>180975</xdr:rowOff>
    </xdr:from>
    <xdr:to>
      <xdr:col>0</xdr:col>
      <xdr:colOff>561975</xdr:colOff>
      <xdr:row>57</xdr:row>
      <xdr:rowOff>66675</xdr:rowOff>
    </xdr:to>
    <xdr:sp>
      <xdr:nvSpPr>
        <xdr:cNvPr id="12" name="Line 15"/>
        <xdr:cNvSpPr>
          <a:spLocks/>
        </xdr:cNvSpPr>
      </xdr:nvSpPr>
      <xdr:spPr>
        <a:xfrm>
          <a:off x="438150" y="15049500"/>
          <a:ext cx="1143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1133475</xdr:colOff>
      <xdr:row>49</xdr:row>
      <xdr:rowOff>76200</xdr:rowOff>
    </xdr:from>
    <xdr:to>
      <xdr:col>0</xdr:col>
      <xdr:colOff>1285875</xdr:colOff>
      <xdr:row>49</xdr:row>
      <xdr:rowOff>219075</xdr:rowOff>
    </xdr:to>
    <xdr:sp>
      <xdr:nvSpPr>
        <xdr:cNvPr id="13" name="Line 16"/>
        <xdr:cNvSpPr>
          <a:spLocks/>
        </xdr:cNvSpPr>
      </xdr:nvSpPr>
      <xdr:spPr>
        <a:xfrm>
          <a:off x="1133475" y="13277850"/>
          <a:ext cx="15240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438150</xdr:colOff>
      <xdr:row>50</xdr:row>
      <xdr:rowOff>66675</xdr:rowOff>
    </xdr:from>
    <xdr:to>
      <xdr:col>0</xdr:col>
      <xdr:colOff>561975</xdr:colOff>
      <xdr:row>50</xdr:row>
      <xdr:rowOff>219075</xdr:rowOff>
    </xdr:to>
    <xdr:sp>
      <xdr:nvSpPr>
        <xdr:cNvPr id="14" name="Line 17"/>
        <xdr:cNvSpPr>
          <a:spLocks/>
        </xdr:cNvSpPr>
      </xdr:nvSpPr>
      <xdr:spPr>
        <a:xfrm>
          <a:off x="438150" y="13506450"/>
          <a:ext cx="123825"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428625</xdr:colOff>
      <xdr:row>56</xdr:row>
      <xdr:rowOff>180975</xdr:rowOff>
    </xdr:from>
    <xdr:to>
      <xdr:col>0</xdr:col>
      <xdr:colOff>1285875</xdr:colOff>
      <xdr:row>57</xdr:row>
      <xdr:rowOff>104775</xdr:rowOff>
    </xdr:to>
    <xdr:sp>
      <xdr:nvSpPr>
        <xdr:cNvPr id="15" name="Freeform 18" descr="右上がり対角線"/>
        <xdr:cNvSpPr>
          <a:spLocks/>
        </xdr:cNvSpPr>
      </xdr:nvSpPr>
      <xdr:spPr>
        <a:xfrm>
          <a:off x="428625" y="15049500"/>
          <a:ext cx="857250" cy="161925"/>
        </a:xfrm>
        <a:custGeom>
          <a:pathLst>
            <a:path h="17" w="72">
              <a:moveTo>
                <a:pt x="0" y="2"/>
              </a:moveTo>
              <a:lnTo>
                <a:pt x="72" y="0"/>
              </a:lnTo>
              <a:lnTo>
                <a:pt x="56" y="17"/>
              </a:lnTo>
              <a:lnTo>
                <a:pt x="11" y="14"/>
              </a:lnTo>
              <a:lnTo>
                <a:pt x="0" y="0"/>
              </a:lnTo>
              <a:lnTo>
                <a:pt x="0" y="2"/>
              </a:lnTo>
              <a:close/>
            </a:path>
          </a:pathLst>
        </a:cu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428625</xdr:colOff>
      <xdr:row>56</xdr:row>
      <xdr:rowOff>180975</xdr:rowOff>
    </xdr:from>
    <xdr:to>
      <xdr:col>0</xdr:col>
      <xdr:colOff>1285875</xdr:colOff>
      <xdr:row>57</xdr:row>
      <xdr:rowOff>104775</xdr:rowOff>
    </xdr:to>
    <xdr:sp>
      <xdr:nvSpPr>
        <xdr:cNvPr id="16" name="Freeform 19"/>
        <xdr:cNvSpPr>
          <a:spLocks/>
        </xdr:cNvSpPr>
      </xdr:nvSpPr>
      <xdr:spPr>
        <a:xfrm>
          <a:off x="428625" y="15049500"/>
          <a:ext cx="857250" cy="161925"/>
        </a:xfrm>
        <a:custGeom>
          <a:pathLst>
            <a:path h="17" w="72">
              <a:moveTo>
                <a:pt x="0" y="2"/>
              </a:moveTo>
              <a:lnTo>
                <a:pt x="72" y="0"/>
              </a:lnTo>
              <a:lnTo>
                <a:pt x="56" y="17"/>
              </a:lnTo>
              <a:lnTo>
                <a:pt x="11" y="14"/>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514350</xdr:colOff>
      <xdr:row>59</xdr:row>
      <xdr:rowOff>9525</xdr:rowOff>
    </xdr:from>
    <xdr:to>
      <xdr:col>0</xdr:col>
      <xdr:colOff>771525</xdr:colOff>
      <xdr:row>61</xdr:row>
      <xdr:rowOff>9525</xdr:rowOff>
    </xdr:to>
    <xdr:sp>
      <xdr:nvSpPr>
        <xdr:cNvPr id="17" name="Line 20"/>
        <xdr:cNvSpPr>
          <a:spLocks/>
        </xdr:cNvSpPr>
      </xdr:nvSpPr>
      <xdr:spPr>
        <a:xfrm flipH="1">
          <a:off x="514350" y="15592425"/>
          <a:ext cx="2571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466725</xdr:colOff>
      <xdr:row>60</xdr:row>
      <xdr:rowOff>152400</xdr:rowOff>
    </xdr:from>
    <xdr:to>
      <xdr:col>0</xdr:col>
      <xdr:colOff>628650</xdr:colOff>
      <xdr:row>61</xdr:row>
      <xdr:rowOff>85725</xdr:rowOff>
    </xdr:to>
    <xdr:sp>
      <xdr:nvSpPr>
        <xdr:cNvPr id="18" name="Freeform 21"/>
        <xdr:cNvSpPr>
          <a:spLocks/>
        </xdr:cNvSpPr>
      </xdr:nvSpPr>
      <xdr:spPr>
        <a:xfrm>
          <a:off x="466725" y="15973425"/>
          <a:ext cx="161925" cy="171450"/>
        </a:xfrm>
        <a:custGeom>
          <a:pathLst>
            <a:path h="18" w="14">
              <a:moveTo>
                <a:pt x="0" y="18"/>
              </a:moveTo>
              <a:lnTo>
                <a:pt x="14" y="7"/>
              </a:lnTo>
              <a:lnTo>
                <a:pt x="0" y="0"/>
              </a:lnTo>
              <a:lnTo>
                <a:pt x="0" y="18"/>
              </a:lnTo>
              <a:close/>
            </a:path>
          </a:pathLst>
        </a:cu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56</xdr:row>
      <xdr:rowOff>209550</xdr:rowOff>
    </xdr:from>
    <xdr:to>
      <xdr:col>0</xdr:col>
      <xdr:colOff>1571625</xdr:colOff>
      <xdr:row>56</xdr:row>
      <xdr:rowOff>209550</xdr:rowOff>
    </xdr:to>
    <xdr:sp>
      <xdr:nvSpPr>
        <xdr:cNvPr id="19" name="Line 22"/>
        <xdr:cNvSpPr>
          <a:spLocks/>
        </xdr:cNvSpPr>
      </xdr:nvSpPr>
      <xdr:spPr>
        <a:xfrm>
          <a:off x="104775" y="150780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247650</xdr:colOff>
      <xdr:row>56</xdr:row>
      <xdr:rowOff>47625</xdr:rowOff>
    </xdr:from>
    <xdr:to>
      <xdr:col>0</xdr:col>
      <xdr:colOff>257175</xdr:colOff>
      <xdr:row>56</xdr:row>
      <xdr:rowOff>123825</xdr:rowOff>
    </xdr:to>
    <xdr:sp>
      <xdr:nvSpPr>
        <xdr:cNvPr id="20" name="Line 23"/>
        <xdr:cNvSpPr>
          <a:spLocks/>
        </xdr:cNvSpPr>
      </xdr:nvSpPr>
      <xdr:spPr>
        <a:xfrm flipH="1">
          <a:off x="247650" y="14916150"/>
          <a:ext cx="952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152400</xdr:colOff>
      <xdr:row>56</xdr:row>
      <xdr:rowOff>38100</xdr:rowOff>
    </xdr:from>
    <xdr:to>
      <xdr:col>0</xdr:col>
      <xdr:colOff>342900</xdr:colOff>
      <xdr:row>56</xdr:row>
      <xdr:rowOff>209550</xdr:rowOff>
    </xdr:to>
    <xdr:sp>
      <xdr:nvSpPr>
        <xdr:cNvPr id="21" name="Freeform 24"/>
        <xdr:cNvSpPr>
          <a:spLocks/>
        </xdr:cNvSpPr>
      </xdr:nvSpPr>
      <xdr:spPr>
        <a:xfrm>
          <a:off x="152400" y="14906625"/>
          <a:ext cx="190500" cy="171450"/>
        </a:xfrm>
        <a:custGeom>
          <a:pathLst>
            <a:path h="18" w="16">
              <a:moveTo>
                <a:pt x="7" y="18"/>
              </a:moveTo>
              <a:lnTo>
                <a:pt x="16" y="2"/>
              </a:lnTo>
              <a:lnTo>
                <a:pt x="0" y="0"/>
              </a:lnTo>
              <a:lnTo>
                <a:pt x="7" y="18"/>
              </a:lnTo>
              <a:close/>
            </a:path>
          </a:pathLst>
        </a:cu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xdr:col>
      <xdr:colOff>628650</xdr:colOff>
      <xdr:row>0</xdr:row>
      <xdr:rowOff>0</xdr:rowOff>
    </xdr:from>
    <xdr:to>
      <xdr:col>9</xdr:col>
      <xdr:colOff>781050</xdr:colOff>
      <xdr:row>0</xdr:row>
      <xdr:rowOff>1428750</xdr:rowOff>
    </xdr:to>
    <xdr:pic>
      <xdr:nvPicPr>
        <xdr:cNvPr id="22" name="図 22">
          <a:hlinkClick r:id="rId3"/>
        </xdr:cNvPr>
        <xdr:cNvPicPr preferRelativeResize="1">
          <a:picLocks noChangeAspect="1"/>
        </xdr:cNvPicPr>
      </xdr:nvPicPr>
      <xdr:blipFill>
        <a:blip r:embed="rId1"/>
        <a:stretch>
          <a:fillRect/>
        </a:stretch>
      </xdr:blipFill>
      <xdr:spPr>
        <a:xfrm>
          <a:off x="2381250" y="0"/>
          <a:ext cx="924877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showOutlineSymbols="0" zoomScale="55" zoomScaleNormal="55" zoomScalePageLayoutView="0" workbookViewId="0" topLeftCell="A1">
      <selection activeCell="A1" sqref="A1"/>
    </sheetView>
  </sheetViews>
  <sheetFormatPr defaultColWidth="10.796875" defaultRowHeight="15"/>
  <cols>
    <col min="1" max="1" width="18.3984375" style="80" customWidth="1"/>
    <col min="2" max="2" width="18.19921875" style="80" customWidth="1"/>
    <col min="3" max="6" width="10.59765625" style="80" customWidth="1"/>
    <col min="7" max="7" width="8.69921875" style="80" customWidth="1"/>
    <col min="8" max="9" width="13.09765625" style="80" customWidth="1"/>
    <col min="10" max="12" width="10.69921875" style="80" customWidth="1"/>
    <col min="13" max="13" width="3.8984375" style="80" customWidth="1"/>
    <col min="14" max="16384" width="10.69921875" style="80" customWidth="1"/>
  </cols>
  <sheetData>
    <row r="1" spans="1:13" ht="139.5" customHeight="1">
      <c r="A1" s="78"/>
      <c r="B1" s="79"/>
      <c r="C1" s="79"/>
      <c r="D1" s="79"/>
      <c r="E1" s="79"/>
      <c r="F1" s="79"/>
      <c r="G1" s="79"/>
      <c r="H1" s="79"/>
      <c r="I1" s="79"/>
      <c r="J1" s="79"/>
      <c r="K1" s="79"/>
      <c r="L1" s="79"/>
      <c r="M1" s="78"/>
    </row>
    <row r="2" spans="1:13" ht="18.75" customHeight="1">
      <c r="A2" s="2" t="s">
        <v>0</v>
      </c>
      <c r="B2" s="1"/>
      <c r="C2" s="35"/>
      <c r="D2" s="6"/>
      <c r="E2" s="6"/>
      <c r="F2" s="81" t="s">
        <v>1</v>
      </c>
      <c r="G2" s="18" t="s">
        <v>2</v>
      </c>
      <c r="H2" s="19" t="s">
        <v>3</v>
      </c>
      <c r="I2" s="82"/>
      <c r="J2" s="82"/>
      <c r="K2" s="82"/>
      <c r="L2" s="83"/>
      <c r="M2" s="84"/>
    </row>
    <row r="3" spans="1:13" ht="18.75" customHeight="1">
      <c r="A3" s="85" t="s">
        <v>4</v>
      </c>
      <c r="B3" s="86"/>
      <c r="C3" s="86"/>
      <c r="D3" s="86"/>
      <c r="E3" s="86"/>
      <c r="F3" s="86"/>
      <c r="G3" s="86"/>
      <c r="H3" s="86"/>
      <c r="I3" s="86"/>
      <c r="J3" s="86"/>
      <c r="K3" s="86"/>
      <c r="L3" s="87"/>
      <c r="M3" s="84"/>
    </row>
    <row r="4" spans="1:13" ht="18.75" customHeight="1">
      <c r="A4" s="85"/>
      <c r="B4" s="86"/>
      <c r="C4" s="86"/>
      <c r="D4" s="86"/>
      <c r="E4" s="86"/>
      <c r="F4" s="86" t="s">
        <v>5</v>
      </c>
      <c r="G4" s="86" t="s">
        <v>6</v>
      </c>
      <c r="H4" s="86"/>
      <c r="I4" s="86"/>
      <c r="J4" s="86"/>
      <c r="K4" s="86"/>
      <c r="L4" s="87"/>
      <c r="M4" s="84"/>
    </row>
    <row r="5" spans="1:13" ht="18.75" customHeight="1" thickBot="1">
      <c r="A5" s="88"/>
      <c r="B5" s="89"/>
      <c r="C5" s="89"/>
      <c r="D5" s="89"/>
      <c r="E5" s="89"/>
      <c r="F5" s="89"/>
      <c r="G5" s="89" t="s">
        <v>7</v>
      </c>
      <c r="H5" s="89"/>
      <c r="I5" s="89"/>
      <c r="J5" s="89"/>
      <c r="K5" s="89"/>
      <c r="L5" s="78"/>
      <c r="M5" s="84"/>
    </row>
    <row r="6" spans="1:13" ht="18.75" customHeight="1" thickBot="1" thickTop="1">
      <c r="A6" s="111" t="s">
        <v>8</v>
      </c>
      <c r="B6" s="180" t="s">
        <v>9</v>
      </c>
      <c r="C6" s="171" t="s">
        <v>10</v>
      </c>
      <c r="D6" s="112" t="s">
        <v>11</v>
      </c>
      <c r="E6" s="113" t="s">
        <v>12</v>
      </c>
      <c r="F6" s="88"/>
      <c r="G6" s="89" t="s">
        <v>13</v>
      </c>
      <c r="H6" s="89"/>
      <c r="I6" s="89"/>
      <c r="J6" s="89"/>
      <c r="K6" s="89"/>
      <c r="L6" s="78"/>
      <c r="M6" s="84"/>
    </row>
    <row r="7" spans="1:13" ht="18.75" customHeight="1" thickBot="1">
      <c r="A7" s="88"/>
      <c r="B7" s="119" t="s">
        <v>14</v>
      </c>
      <c r="C7" s="172" t="s">
        <v>15</v>
      </c>
      <c r="D7" s="110" t="s">
        <v>16</v>
      </c>
      <c r="E7" s="114"/>
      <c r="F7" s="88"/>
      <c r="G7" s="91" t="s">
        <v>17</v>
      </c>
      <c r="H7" s="89" t="s">
        <v>18</v>
      </c>
      <c r="I7" s="89"/>
      <c r="J7" s="89"/>
      <c r="K7" s="89"/>
      <c r="L7" s="78"/>
      <c r="M7" s="84"/>
    </row>
    <row r="8" spans="1:13" ht="18.75" customHeight="1" thickBot="1">
      <c r="A8" s="88" t="s">
        <v>19</v>
      </c>
      <c r="B8" s="181" t="s">
        <v>20</v>
      </c>
      <c r="C8" s="173" t="s">
        <v>15</v>
      </c>
      <c r="D8" s="116" t="s">
        <v>16</v>
      </c>
      <c r="E8" s="117" t="s">
        <v>178</v>
      </c>
      <c r="F8" s="88"/>
      <c r="G8" s="91" t="s">
        <v>22</v>
      </c>
      <c r="H8" s="89" t="s">
        <v>23</v>
      </c>
      <c r="I8" s="89"/>
      <c r="J8" s="89"/>
      <c r="K8" s="89"/>
      <c r="L8" s="78"/>
      <c r="M8" s="84"/>
    </row>
    <row r="9" spans="1:13" ht="18.75" customHeight="1" thickBot="1">
      <c r="A9" s="88" t="s">
        <v>24</v>
      </c>
      <c r="B9" s="119" t="s">
        <v>25</v>
      </c>
      <c r="C9" s="173" t="s">
        <v>15</v>
      </c>
      <c r="D9" s="116" t="s">
        <v>178</v>
      </c>
      <c r="E9" s="118"/>
      <c r="F9" s="88"/>
      <c r="G9" s="91" t="s">
        <v>26</v>
      </c>
      <c r="H9" s="89" t="s">
        <v>27</v>
      </c>
      <c r="I9" s="89"/>
      <c r="J9" s="89"/>
      <c r="K9" s="89"/>
      <c r="L9" s="78"/>
      <c r="M9" s="84"/>
    </row>
    <row r="10" spans="1:13" ht="18.75" customHeight="1" thickBot="1">
      <c r="A10" s="88" t="s">
        <v>28</v>
      </c>
      <c r="B10" s="182" t="s">
        <v>2</v>
      </c>
      <c r="C10" s="174" t="s">
        <v>29</v>
      </c>
      <c r="D10" s="119"/>
      <c r="E10" s="120"/>
      <c r="F10" s="88"/>
      <c r="G10" s="91" t="s">
        <v>30</v>
      </c>
      <c r="H10" s="7" t="s">
        <v>31</v>
      </c>
      <c r="I10" s="7"/>
      <c r="J10" s="7"/>
      <c r="K10" s="7"/>
      <c r="L10" s="78"/>
      <c r="M10" s="84"/>
    </row>
    <row r="11" spans="1:13" ht="18.75" customHeight="1" thickBot="1">
      <c r="A11" s="88"/>
      <c r="B11" s="183" t="s">
        <v>32</v>
      </c>
      <c r="C11" s="175">
        <v>15</v>
      </c>
      <c r="D11" s="121">
        <f>IF(C11&gt;=30,30,ROUND(C11,1))</f>
        <v>15</v>
      </c>
      <c r="E11" s="122" t="s">
        <v>33</v>
      </c>
      <c r="F11" s="88"/>
      <c r="G11" s="91" t="s">
        <v>34</v>
      </c>
      <c r="H11" s="89" t="s">
        <v>35</v>
      </c>
      <c r="I11" s="89"/>
      <c r="J11" s="89"/>
      <c r="K11" s="89"/>
      <c r="L11" s="78"/>
      <c r="M11" s="84"/>
    </row>
    <row r="12" spans="1:13" ht="18.75" customHeight="1">
      <c r="A12" s="88"/>
      <c r="B12" s="184" t="s">
        <v>36</v>
      </c>
      <c r="C12" s="176" t="s">
        <v>37</v>
      </c>
      <c r="D12" s="115">
        <f>ROUND(H69,2)</f>
        <v>274.18</v>
      </c>
      <c r="E12" s="97" t="s">
        <v>38</v>
      </c>
      <c r="F12" s="88"/>
      <c r="G12" s="91" t="s">
        <v>39</v>
      </c>
      <c r="H12" s="89" t="s">
        <v>40</v>
      </c>
      <c r="I12" s="89"/>
      <c r="J12" s="89"/>
      <c r="K12" s="89"/>
      <c r="L12" s="78"/>
      <c r="M12" s="84"/>
    </row>
    <row r="13" spans="1:13" ht="18.75" customHeight="1" thickBot="1">
      <c r="A13" s="88"/>
      <c r="B13" s="185" t="s">
        <v>41</v>
      </c>
      <c r="C13" s="177" t="s">
        <v>42</v>
      </c>
      <c r="D13" s="96">
        <f>ROUND(G68,2)</f>
        <v>2.83</v>
      </c>
      <c r="E13" s="97" t="s">
        <v>43</v>
      </c>
      <c r="F13" s="88"/>
      <c r="G13" s="91" t="s">
        <v>44</v>
      </c>
      <c r="H13" s="89" t="s">
        <v>45</v>
      </c>
      <c r="I13" s="89"/>
      <c r="J13" s="89"/>
      <c r="K13" s="89"/>
      <c r="L13" s="75"/>
      <c r="M13" s="84"/>
    </row>
    <row r="14" spans="1:13" ht="18.75" customHeight="1">
      <c r="A14" s="88"/>
      <c r="B14" s="186" t="s">
        <v>46</v>
      </c>
      <c r="C14" s="178" t="s">
        <v>37</v>
      </c>
      <c r="D14" s="124">
        <f>ROUND(K69,2)</f>
        <v>597.22</v>
      </c>
      <c r="E14" s="125" t="s">
        <v>38</v>
      </c>
      <c r="F14" s="88"/>
      <c r="G14" s="91" t="s">
        <v>47</v>
      </c>
      <c r="H14" s="89" t="s">
        <v>48</v>
      </c>
      <c r="I14" s="89"/>
      <c r="J14" s="89"/>
      <c r="K14" s="89"/>
      <c r="L14" s="78"/>
      <c r="M14" s="84"/>
    </row>
    <row r="15" spans="1:13" ht="18.75" customHeight="1" thickBot="1">
      <c r="A15" s="88"/>
      <c r="B15" s="185" t="s">
        <v>49</v>
      </c>
      <c r="C15" s="177" t="s">
        <v>42</v>
      </c>
      <c r="D15" s="96">
        <f>ROUND(J68,2)</f>
        <v>10.8</v>
      </c>
      <c r="E15" s="97" t="s">
        <v>43</v>
      </c>
      <c r="F15" s="88"/>
      <c r="G15" s="91"/>
      <c r="H15" s="7" t="s">
        <v>50</v>
      </c>
      <c r="I15" s="7"/>
      <c r="J15" s="7"/>
      <c r="K15" s="89"/>
      <c r="L15" s="78"/>
      <c r="M15" s="84"/>
    </row>
    <row r="16" spans="1:13" ht="18.75" customHeight="1" thickBot="1">
      <c r="A16" s="88"/>
      <c r="B16" s="186" t="s">
        <v>51</v>
      </c>
      <c r="C16" s="179" t="s">
        <v>52</v>
      </c>
      <c r="D16" s="126">
        <v>15</v>
      </c>
      <c r="E16" s="125" t="s">
        <v>53</v>
      </c>
      <c r="F16" s="88"/>
      <c r="G16" s="91" t="s">
        <v>54</v>
      </c>
      <c r="H16" s="89" t="s">
        <v>55</v>
      </c>
      <c r="I16" s="89"/>
      <c r="J16" s="89"/>
      <c r="K16" s="89"/>
      <c r="L16" s="78"/>
      <c r="M16" s="84"/>
    </row>
    <row r="17" spans="1:13" ht="18.75" customHeight="1" thickBot="1" thickTop="1">
      <c r="A17" s="123" t="s">
        <v>56</v>
      </c>
      <c r="B17" s="182" t="s">
        <v>57</v>
      </c>
      <c r="C17" s="179"/>
      <c r="D17" s="128"/>
      <c r="E17" s="129"/>
      <c r="F17" s="95"/>
      <c r="G17" s="77"/>
      <c r="H17" s="7" t="s">
        <v>58</v>
      </c>
      <c r="I17" s="7"/>
      <c r="J17" s="7"/>
      <c r="K17" s="89"/>
      <c r="L17" s="78"/>
      <c r="M17" s="84"/>
    </row>
    <row r="18" spans="1:13" ht="18.75" customHeight="1" thickBot="1" thickTop="1">
      <c r="A18" s="130" t="s">
        <v>59</v>
      </c>
      <c r="B18" s="131" t="s">
        <v>60</v>
      </c>
      <c r="C18" s="132" t="s">
        <v>61</v>
      </c>
      <c r="D18" s="132" t="s">
        <v>62</v>
      </c>
      <c r="E18" s="133" t="s">
        <v>63</v>
      </c>
      <c r="F18" s="134" t="s">
        <v>64</v>
      </c>
      <c r="G18" s="231"/>
      <c r="H18" s="90" t="s">
        <v>65</v>
      </c>
      <c r="I18" s="92"/>
      <c r="J18" s="92"/>
      <c r="K18" s="92"/>
      <c r="L18" s="67"/>
      <c r="M18" s="84"/>
    </row>
    <row r="19" spans="1:13" ht="18.75" customHeight="1" thickBot="1">
      <c r="A19" s="130" t="s">
        <v>66</v>
      </c>
      <c r="B19" s="135" t="s">
        <v>67</v>
      </c>
      <c r="C19" s="132">
        <v>300</v>
      </c>
      <c r="D19" s="132">
        <v>400</v>
      </c>
      <c r="E19" s="133">
        <v>450</v>
      </c>
      <c r="F19" s="134">
        <v>500</v>
      </c>
      <c r="G19" s="150"/>
      <c r="H19" s="187" t="s">
        <v>68</v>
      </c>
      <c r="I19" s="188"/>
      <c r="J19" s="127">
        <v>1</v>
      </c>
      <c r="K19" s="189" t="s">
        <v>69</v>
      </c>
      <c r="L19" s="190"/>
      <c r="M19" s="84"/>
    </row>
    <row r="20" spans="1:13" ht="18.75" customHeight="1" thickBot="1">
      <c r="A20" s="130" t="s">
        <v>70</v>
      </c>
      <c r="B20" s="135" t="s">
        <v>71</v>
      </c>
      <c r="C20" s="136">
        <v>440</v>
      </c>
      <c r="D20" s="136">
        <v>500</v>
      </c>
      <c r="E20" s="137">
        <v>600</v>
      </c>
      <c r="F20" s="138">
        <v>650</v>
      </c>
      <c r="G20" s="170"/>
      <c r="H20" s="62"/>
      <c r="I20" s="64"/>
      <c r="J20" s="63">
        <v>2</v>
      </c>
      <c r="K20" s="69" t="s">
        <v>72</v>
      </c>
      <c r="L20" s="70"/>
      <c r="M20" s="84"/>
    </row>
    <row r="21" spans="1:13" ht="18.75" customHeight="1">
      <c r="A21" s="123" t="s">
        <v>73</v>
      </c>
      <c r="B21" s="131" t="s">
        <v>74</v>
      </c>
      <c r="C21" s="139">
        <f>IF(C20="","",ROUND((C20/2000)^2*3.14,4))</f>
        <v>0.152</v>
      </c>
      <c r="D21" s="139">
        <f>IF(D20="","",ROUND((D20/2000)^2*3.14,4))</f>
        <v>0.1963</v>
      </c>
      <c r="E21" s="140">
        <f>IF(E20="","",ROUND((E20/2000)^2*3.14,4))</f>
        <v>0.2826</v>
      </c>
      <c r="F21" s="141">
        <f>IF(F20="","",ROUND((F20/2000)^2*3.14,4))</f>
        <v>0.3317</v>
      </c>
      <c r="G21" s="150"/>
      <c r="H21" s="71"/>
      <c r="I21" s="64"/>
      <c r="J21" s="63">
        <v>3</v>
      </c>
      <c r="K21" s="69" t="s">
        <v>75</v>
      </c>
      <c r="L21" s="70"/>
      <c r="M21" s="84"/>
    </row>
    <row r="22" spans="1:13" ht="18.75" customHeight="1" thickBot="1">
      <c r="A22" s="72" t="s">
        <v>76</v>
      </c>
      <c r="B22" s="73" t="s">
        <v>77</v>
      </c>
      <c r="C22" s="98">
        <f>IF(C20="","",ROUND((C20/1000)*3.14,4))</f>
        <v>1.3816</v>
      </c>
      <c r="D22" s="98">
        <f>IF(D20="","",ROUND((D20/1000)*3.14,4))</f>
        <v>1.57</v>
      </c>
      <c r="E22" s="106">
        <f>IF(E20="","",ROUND((E20/1000)*3.14,4))</f>
        <v>1.884</v>
      </c>
      <c r="F22" s="99">
        <f>IF(F20="","",ROUND((F20/1000)*3.14,4))</f>
        <v>2.041</v>
      </c>
      <c r="G22" s="232"/>
      <c r="H22" s="71"/>
      <c r="I22" s="64"/>
      <c r="J22" s="63">
        <v>4</v>
      </c>
      <c r="K22" s="69" t="s">
        <v>78</v>
      </c>
      <c r="L22" s="70"/>
      <c r="M22" s="84"/>
    </row>
    <row r="23" spans="1:13" ht="18.75" customHeight="1" thickBot="1">
      <c r="A23" s="123" t="s">
        <v>79</v>
      </c>
      <c r="B23" s="142"/>
      <c r="C23" s="126">
        <v>1</v>
      </c>
      <c r="D23" s="126">
        <v>1</v>
      </c>
      <c r="E23" s="143">
        <v>1</v>
      </c>
      <c r="F23" s="144">
        <v>1</v>
      </c>
      <c r="G23" s="161"/>
      <c r="H23" s="191" t="s">
        <v>80</v>
      </c>
      <c r="I23" s="216">
        <v>2</v>
      </c>
      <c r="J23" s="192" t="str">
        <f>IF(I23=4,"HC-TOPφ600-450設計用諸元表",IF(I23=3,"HC-TOPφ600-450設計諸元表",IF(I23=2,"HC-TOPφ500-400設計諸元表",IF(I23=1,"HC-TOPφ440-300設計諸元表",""))))</f>
        <v>HC-TOPφ500-400設計諸元表</v>
      </c>
      <c r="K23" s="193"/>
      <c r="L23" s="194"/>
      <c r="M23" s="84"/>
    </row>
    <row r="24" spans="1:13" ht="18.75" customHeight="1" thickBot="1">
      <c r="A24" s="88"/>
      <c r="B24" s="89"/>
      <c r="C24" s="100" t="str">
        <f>IF(C23="","",IF(C23=1,"摩擦杭",""))</f>
        <v>摩擦杭</v>
      </c>
      <c r="D24" s="100" t="str">
        <f>IF(D23="","",IF(D23=1,"摩擦杭",""))</f>
        <v>摩擦杭</v>
      </c>
      <c r="E24" s="107" t="str">
        <f>IF(E23="","",IF(E23=1,"摩擦杭",""))</f>
        <v>摩擦杭</v>
      </c>
      <c r="F24" s="101" t="str">
        <f>IF(F23="","",IF(F23=1,"摩擦杭",""))</f>
        <v>摩擦杭</v>
      </c>
      <c r="G24" s="233"/>
      <c r="H24" s="195" t="s">
        <v>11</v>
      </c>
      <c r="I24" s="196"/>
      <c r="J24" s="197" t="s">
        <v>21</v>
      </c>
      <c r="K24" s="198" t="s">
        <v>81</v>
      </c>
      <c r="L24" s="199" t="s">
        <v>82</v>
      </c>
      <c r="M24" s="84"/>
    </row>
    <row r="25" spans="1:13" ht="18.75" customHeight="1" thickBot="1">
      <c r="A25" s="72" t="s">
        <v>83</v>
      </c>
      <c r="B25" s="73" t="s">
        <v>84</v>
      </c>
      <c r="C25" s="102">
        <f>IF(C23="","",IF($D$11&gt;=5,150,0))</f>
        <v>150</v>
      </c>
      <c r="D25" s="102">
        <f>IF(D23="","",IF($D$11&gt;=5,150,0))</f>
        <v>150</v>
      </c>
      <c r="E25" s="108">
        <f>IF(E23="","",IF($D$11&gt;=5,150,0))</f>
        <v>150</v>
      </c>
      <c r="F25" s="103">
        <f>IF(F23="","",IF($D$11&gt;=5,150,0))</f>
        <v>150</v>
      </c>
      <c r="G25" s="234"/>
      <c r="H25" s="200" t="s">
        <v>85</v>
      </c>
      <c r="I25" s="201" t="s">
        <v>86</v>
      </c>
      <c r="J25" s="149">
        <v>500</v>
      </c>
      <c r="K25" s="202">
        <f>IF(I$23=4,650,IF(I$23=3,600,IF(I$23=2,500,IF(I$23=1,400,""))))</f>
        <v>500</v>
      </c>
      <c r="L25" s="203">
        <v>500</v>
      </c>
      <c r="M25" s="84"/>
    </row>
    <row r="26" spans="1:13" ht="18.75" customHeight="1">
      <c r="A26" s="123" t="s">
        <v>87</v>
      </c>
      <c r="B26" s="131" t="s">
        <v>88</v>
      </c>
      <c r="C26" s="145">
        <f>IF(C25="","",ROUND(C25*$D$11*C21/3,1))</f>
        <v>114</v>
      </c>
      <c r="D26" s="145">
        <f>IF(D25="","",ROUND(D25*$D$11*D21/3,1))</f>
        <v>147.2</v>
      </c>
      <c r="E26" s="146">
        <f>IF(E25="","",ROUND(E25*$D$11*E21/3,1))</f>
        <v>212</v>
      </c>
      <c r="F26" s="147">
        <f>IF(F25="","",ROUND(F25*$D$11*F21/3,1))</f>
        <v>248.8</v>
      </c>
      <c r="G26" s="162"/>
      <c r="H26" s="58"/>
      <c r="I26" s="66" t="s">
        <v>89</v>
      </c>
      <c r="J26" s="9">
        <v>400</v>
      </c>
      <c r="K26" s="10">
        <f>IF(I$23=4,500,IF(I$23=3,450,IF(I$23=2,400,IF(I$23=1,300,""))))</f>
        <v>400</v>
      </c>
      <c r="L26" s="10">
        <v>400</v>
      </c>
      <c r="M26" s="84"/>
    </row>
    <row r="27" spans="1:13" ht="18.75" customHeight="1">
      <c r="A27" s="72" t="s">
        <v>90</v>
      </c>
      <c r="B27" s="73" t="s">
        <v>91</v>
      </c>
      <c r="C27" s="104">
        <f>IF($D$12="","",ROUND($D$12*C22/3,1))</f>
        <v>126.3</v>
      </c>
      <c r="D27" s="104">
        <f>IF($D$12="","",ROUND($D$12*D22/3,1))</f>
        <v>143.5</v>
      </c>
      <c r="E27" s="109">
        <f>IF($D$12="","",ROUND($D$12*E22/3,1))</f>
        <v>172.2</v>
      </c>
      <c r="F27" s="105">
        <f>IF($D$12="","",ROUND($D$12*F22/3,1))</f>
        <v>186.5</v>
      </c>
      <c r="G27" s="235"/>
      <c r="H27" s="48" t="s">
        <v>92</v>
      </c>
      <c r="I27" s="65"/>
      <c r="J27" s="49"/>
      <c r="K27" s="50">
        <f>IF(I$23=4,80,IF(I$23=3,70,IF(I$23=2,65,IF(I$23=1,60,""))))</f>
        <v>65</v>
      </c>
      <c r="L27" s="51"/>
      <c r="M27" s="84"/>
    </row>
    <row r="28" spans="1:13" ht="18.75" customHeight="1" thickBot="1">
      <c r="A28" s="72" t="s">
        <v>93</v>
      </c>
      <c r="B28" s="73" t="s">
        <v>94</v>
      </c>
      <c r="C28" s="104">
        <f>IF($D$14="","",ROUND($D$14*C22/3,1))</f>
        <v>275</v>
      </c>
      <c r="D28" s="104">
        <f>IF($D$14="","",ROUND($D$14*D22/3,1))</f>
        <v>312.5</v>
      </c>
      <c r="E28" s="109">
        <f>IF($D$14="","",ROUND($D$14*E22/3,1))</f>
        <v>375.1</v>
      </c>
      <c r="F28" s="105">
        <f>IF($D$14="","",ROUND($D$14*F22/3,1))</f>
        <v>406.3</v>
      </c>
      <c r="G28" s="235"/>
      <c r="H28" s="52" t="s">
        <v>95</v>
      </c>
      <c r="I28" s="65"/>
      <c r="J28" s="56"/>
      <c r="K28" s="50">
        <f>IF(I$23=4,1055.6,IF(I$23=3,835.7,IF(I$23=2,684.1,IF(I$23=1,452.4,""))))</f>
        <v>684.1</v>
      </c>
      <c r="L28" s="51"/>
      <c r="M28" s="84"/>
    </row>
    <row r="29" spans="1:13" ht="18.75" customHeight="1" thickBot="1">
      <c r="A29" s="152" t="s">
        <v>96</v>
      </c>
      <c r="B29" s="165" t="s">
        <v>97</v>
      </c>
      <c r="C29" s="166">
        <f>IF(C26="","",ROUND(C26+C27+C28,1))</f>
        <v>515.3</v>
      </c>
      <c r="D29" s="166">
        <f>IF(D26="","",ROUND(D26+D27+D28,1))</f>
        <v>603.2</v>
      </c>
      <c r="E29" s="167">
        <f>IF(E26="","",ROUND(E26+E27+E28,1))</f>
        <v>759.3</v>
      </c>
      <c r="F29" s="168">
        <f>IF(F26="","",ROUND(F26+F27+F28,1))</f>
        <v>841.6</v>
      </c>
      <c r="G29" s="169"/>
      <c r="H29" s="58" t="s">
        <v>98</v>
      </c>
      <c r="I29" s="66" t="s">
        <v>99</v>
      </c>
      <c r="J29" s="49"/>
      <c r="K29" s="11">
        <v>600</v>
      </c>
      <c r="L29" s="70"/>
      <c r="M29" s="84"/>
    </row>
    <row r="30" spans="1:13" ht="18.75" customHeight="1" thickBot="1">
      <c r="A30" s="123" t="s">
        <v>100</v>
      </c>
      <c r="B30" s="142"/>
      <c r="C30" s="128">
        <f>IF($E$8="C種",483.8,IF($E$8="B種",475.9,IF($E$8="A種",464.4,"")))</f>
        <v>464.4</v>
      </c>
      <c r="D30" s="128">
        <f>IF($E$8="C種",731.1,IF($E$8="B種",722.5,IF($E$8="A種",703.3,"")))</f>
        <v>703.3</v>
      </c>
      <c r="E30" s="163">
        <f>IF($E$8="C種",895.7,IF($E$8="B種",882.8,IF($E$8="A種",859.7,"")))</f>
        <v>859.7</v>
      </c>
      <c r="F30" s="164">
        <f>IF($E$8="C種",1125.6,IF($E$8="B種",1110.6,IF($E$8="A種",1083.6,"")))</f>
        <v>1083.6</v>
      </c>
      <c r="G30" s="161"/>
      <c r="H30" s="53" t="s">
        <v>101</v>
      </c>
      <c r="I30" s="66" t="s">
        <v>102</v>
      </c>
      <c r="J30" s="54"/>
      <c r="K30" s="12">
        <v>400</v>
      </c>
      <c r="L30" s="70"/>
      <c r="M30" s="84"/>
    </row>
    <row r="31" spans="1:13" ht="18.75" customHeight="1" thickBot="1">
      <c r="A31" s="123" t="s">
        <v>103</v>
      </c>
      <c r="B31" s="131" t="s">
        <v>104</v>
      </c>
      <c r="C31" s="145">
        <f>IF($E$8="","チェック",IF($E$8="Ｃ種",ROUND((2354-981)*C30*10^-3,1),IF($E$8="Ｂ種",ROUND((2354-785)*C30*10^-3,1),IF($E$8="A種",ROUND((1961-392)*C30*10^-3,1),"再入力"))))</f>
        <v>728.6</v>
      </c>
      <c r="D31" s="145">
        <f>IF($E$8="","チェック",IF($E$8="Ｃ種",ROUND((2354-981)*D30*10^-3,1),IF($E$8="Ｂ種",ROUND((2354-785)*D30*10^-3,1),IF($E$8="A種",ROUND((1961-392)*D30*10^-3,1),"再入力"))))</f>
        <v>1103.5</v>
      </c>
      <c r="E31" s="146">
        <f>IF($E$8="","チェック",IF($E$8="Ｃ種",ROUND((2354-981)*E30*10^-3,1),IF($E$8="Ｂ種",ROUND((2354-785)*E30*10^-3,1),IF($E$8="A種",ROUND((1961-392)*E30*10^-3,1),"再入力"))))</f>
        <v>1348.9</v>
      </c>
      <c r="F31" s="147">
        <f>IF($E$8="","チェック",IF($E$8="Ｃ種",ROUND((2354-981)*F30*10^-3,1),IF($E$8="Ｂ種",ROUND((2354-785)*F30*10^-3,1),IF($E$8="A種",ROUND((1961-392)*F30*10^-3,1),"再入力"))))</f>
        <v>1700.2</v>
      </c>
      <c r="G31" s="162"/>
      <c r="H31" s="52" t="s">
        <v>105</v>
      </c>
      <c r="I31" s="60"/>
      <c r="J31" s="55" t="str">
        <f>IF(I$23=4,"4～15",IF(I$23=3,"4～15",IF(I$23=2,"4～15",IF(I$23=1,"4～13",""))))</f>
        <v>4～15</v>
      </c>
      <c r="K31" s="13" t="s">
        <v>106</v>
      </c>
      <c r="L31" s="14"/>
      <c r="M31" s="84"/>
    </row>
    <row r="32" spans="1:13" ht="18.75" customHeight="1">
      <c r="A32" s="72" t="s">
        <v>107</v>
      </c>
      <c r="B32" s="73" t="s">
        <v>108</v>
      </c>
      <c r="C32" s="100">
        <f>IF($D$16/(C20*10^-3)&lt;85,0,ROUND((($D$16/(C20*10^-3))-85)/100,3))</f>
        <v>0</v>
      </c>
      <c r="D32" s="100">
        <f>IF($D$16/(D20*10^-3)&lt;85,0,ROUND((($D$16/(D20*10^-3))-85)/100,3))</f>
        <v>0</v>
      </c>
      <c r="E32" s="107">
        <f>IF($D$16/(E20*10^-3)&lt;85,0,ROUND((($D$16/(E20*10^-3))-85)/100,3))</f>
        <v>0</v>
      </c>
      <c r="F32" s="101">
        <f>IF($D$16/(F20*10^-3)&lt;85,0,ROUND((($D$16/(F20*10^-3))-85)/100,3))</f>
        <v>0</v>
      </c>
      <c r="G32" s="233"/>
      <c r="H32" s="195" t="s">
        <v>109</v>
      </c>
      <c r="I32" s="204"/>
      <c r="J32" s="205">
        <v>7845</v>
      </c>
      <c r="K32" s="206">
        <v>8336</v>
      </c>
      <c r="L32" s="207">
        <v>8336</v>
      </c>
      <c r="M32" s="84"/>
    </row>
    <row r="33" spans="1:13" ht="18.75" customHeight="1" thickBot="1">
      <c r="A33" s="72" t="s">
        <v>110</v>
      </c>
      <c r="B33" s="73" t="s">
        <v>111</v>
      </c>
      <c r="C33" s="100" t="str">
        <f>IF((D16/(C20*10^-3))&gt;110,"不可","OK")</f>
        <v>OK</v>
      </c>
      <c r="D33" s="100" t="str">
        <f>IF((D16/(D20*10^-3))&gt;110,"不可","OK")</f>
        <v>OK</v>
      </c>
      <c r="E33" s="107" t="str">
        <f>IF((D16/(E20*10^-3))&gt;110,"不可","OK")</f>
        <v>OK</v>
      </c>
      <c r="F33" s="101" t="str">
        <f>IF((D16/(F20*10^-3))&gt;110,"不可","OK")</f>
        <v>OK</v>
      </c>
      <c r="G33" s="233"/>
      <c r="H33" s="52" t="s">
        <v>112</v>
      </c>
      <c r="I33" s="65"/>
      <c r="J33" s="9">
        <v>392</v>
      </c>
      <c r="K33" s="15">
        <v>785</v>
      </c>
      <c r="L33" s="10">
        <v>981</v>
      </c>
      <c r="M33" s="84"/>
    </row>
    <row r="34" spans="1:13" ht="18.75" customHeight="1" thickBot="1">
      <c r="A34" s="123" t="s">
        <v>113</v>
      </c>
      <c r="B34" s="142"/>
      <c r="C34" s="126"/>
      <c r="D34" s="126"/>
      <c r="E34" s="143"/>
      <c r="F34" s="144"/>
      <c r="G34" s="161"/>
      <c r="H34" s="36"/>
      <c r="I34" s="66" t="s">
        <v>114</v>
      </c>
      <c r="J34" s="55">
        <f>IF(I$23=4,7.1,IF(I$23=3,7.1,IF(I$23=2,9,IF(I$23=1,7.1,""))))</f>
        <v>9</v>
      </c>
      <c r="K34" s="37">
        <f>IF(I$23=4,10,IF(I$23=3,10,IF(I$23=2,9,IF(I$23=1,10,""))))</f>
        <v>9</v>
      </c>
      <c r="L34" s="37">
        <f>IF(I$23=4,11.2,IF(I$23=3,11.2,IF(I$23=2,10,IF(I$23=1,10,""))))</f>
        <v>10</v>
      </c>
      <c r="M34" s="84"/>
    </row>
    <row r="35" spans="1:13" ht="18.75" customHeight="1" thickBot="1">
      <c r="A35" s="123" t="s">
        <v>115</v>
      </c>
      <c r="B35" s="131" t="s">
        <v>116</v>
      </c>
      <c r="C35" s="157">
        <f>IF(C34="",0,ROUND(C34*0.05,2))</f>
        <v>0</v>
      </c>
      <c r="D35" s="157">
        <f>IF(D34="",0,ROUND(D34*0.05,2))</f>
        <v>0</v>
      </c>
      <c r="E35" s="158">
        <f>IF(E34="",0,ROUND(E34*0.05,2))</f>
        <v>0</v>
      </c>
      <c r="F35" s="159">
        <f>IF(F34="",0,ROUND(F34*0.05,2))</f>
        <v>0</v>
      </c>
      <c r="G35" s="160"/>
      <c r="H35" s="38" t="s">
        <v>117</v>
      </c>
      <c r="I35" s="66" t="s">
        <v>118</v>
      </c>
      <c r="J35" s="55">
        <f>IF(I$23=4,14,IF(I$23=3,12,IF(I$23=2,6,IF(I$23=1,6,""))))</f>
        <v>6</v>
      </c>
      <c r="K35" s="37">
        <f>IF(I$23=4,14,IF(I$23=3,12,IF(I$23=2,12,IF(I$23=1,6,""))))</f>
        <v>12</v>
      </c>
      <c r="L35" s="37">
        <f>IF(I$23=4,14,IF(I$23=3,12,IF(I$23=2,12,IF(I$23=1,8,""))))</f>
        <v>12</v>
      </c>
      <c r="M35" s="84"/>
    </row>
    <row r="36" spans="1:13" ht="18.75" customHeight="1" thickBot="1">
      <c r="A36" s="123" t="s">
        <v>119</v>
      </c>
      <c r="B36" s="131" t="s">
        <v>120</v>
      </c>
      <c r="C36" s="157">
        <f>TRUNC(C29)</f>
        <v>515</v>
      </c>
      <c r="D36" s="157">
        <f>TRUNC(D29)</f>
        <v>603</v>
      </c>
      <c r="E36" s="158">
        <f>TRUNC(E29)</f>
        <v>759</v>
      </c>
      <c r="F36" s="159">
        <f>TRUNC(F29)</f>
        <v>841</v>
      </c>
      <c r="G36" s="160"/>
      <c r="H36" s="38"/>
      <c r="I36" s="66" t="s">
        <v>121</v>
      </c>
      <c r="J36" s="55">
        <f>IF(I$23=4,5.6,IF(I$23=3,4.8,IF(I$23=2,3.84,IF(I$23=1,2.4,""))))</f>
        <v>3.84</v>
      </c>
      <c r="K36" s="37">
        <f>IF(I$23=4,10.99,IF(I$23=3,9.42,IF(I$23=2,7.68,IF(I$23=1,4.71,""))))</f>
        <v>7.68</v>
      </c>
      <c r="L36" s="37">
        <f>IF(I$23=4,14,IF(I$23=3,12,IF(I$23=2,9.4,IF(I$23=1,6.28,""))))</f>
        <v>9.4</v>
      </c>
      <c r="M36" s="84"/>
    </row>
    <row r="37" spans="1:13" ht="18.75" customHeight="1" thickBot="1">
      <c r="A37" s="72" t="s">
        <v>122</v>
      </c>
      <c r="B37" s="73" t="s">
        <v>123</v>
      </c>
      <c r="C37" s="100">
        <f>TRUNC(ROUND(C31*(1-C32-C35),0),-1)</f>
        <v>720</v>
      </c>
      <c r="D37" s="100">
        <f>TRUNC(ROUND(D31*(1-D32-D35),0),-1)</f>
        <v>1100</v>
      </c>
      <c r="E37" s="107">
        <f>TRUNC(ROUND(E31*(1-E32-E35),0),-1)</f>
        <v>1340</v>
      </c>
      <c r="F37" s="101">
        <f>TRUNC(ROUND(F31*(1-F32-F35),0),-1)</f>
        <v>1700</v>
      </c>
      <c r="G37" s="233"/>
      <c r="H37" s="208" t="s">
        <v>124</v>
      </c>
      <c r="I37" s="201" t="s">
        <v>125</v>
      </c>
      <c r="J37" s="209">
        <f>IF(I$23=4,111.6,IF(I$23=3,80.3,IF(I$23=2,57.6,IF(I$23=1,26.7,""))))</f>
        <v>57.6</v>
      </c>
      <c r="K37" s="210">
        <f>IF(I$23=4,154,IF(I$23=3,111.1,IF(I$23=2,79.6,IF(I$23=1,36.8,""))))</f>
        <v>79.6</v>
      </c>
      <c r="L37" s="211">
        <f>IF(I$23=4,176.1,IF(I$23=3,127.2,IF(I$23=2,90.9,IF(I$23=1,42.2,""))))</f>
        <v>90.9</v>
      </c>
      <c r="M37" s="84"/>
    </row>
    <row r="38" spans="1:13" ht="18.75" customHeight="1" thickBot="1">
      <c r="A38" s="152" t="s">
        <v>126</v>
      </c>
      <c r="B38" s="153"/>
      <c r="C38" s="154">
        <f>FLOOR(MIN(C36,C37),10)</f>
        <v>510</v>
      </c>
      <c r="D38" s="154">
        <f>FLOOR(MIN(D36,D37),10)</f>
        <v>600</v>
      </c>
      <c r="E38" s="155">
        <f>FLOOR(MIN(E36,E37),10)</f>
        <v>750</v>
      </c>
      <c r="F38" s="156">
        <f>FLOOR(MIN(F36,F37),10)</f>
        <v>840</v>
      </c>
      <c r="G38" s="150"/>
      <c r="H38" s="39" t="s">
        <v>127</v>
      </c>
      <c r="I38" s="66" t="s">
        <v>128</v>
      </c>
      <c r="J38" s="55">
        <f>IF(I$23=4,154.9,IF(I$23=3,115.6,IF(I$23=2,81.7,IF(I$23=1,38.1,""))))</f>
        <v>81.7</v>
      </c>
      <c r="K38" s="37">
        <f>IF(I$23=4,283.9,IF(I$23=3,217,IF(I$23=2,156.4,IF(I$23=1,70.6,""))))</f>
        <v>156.4</v>
      </c>
      <c r="L38" s="37">
        <f>IF(I$23=4,353.6,IF(I$23=3,269.8,IF(I$23=2,187.7,IF(I$23=1,91.2,""))))</f>
        <v>187.7</v>
      </c>
      <c r="M38" s="84"/>
    </row>
    <row r="39" spans="1:13" ht="18.75" customHeight="1" thickBot="1">
      <c r="A39" s="152" t="s">
        <v>129</v>
      </c>
      <c r="B39" s="153"/>
      <c r="C39" s="154" t="str">
        <f>IF($D$16*1000/C20&gt;=10,"長杭○","短杭×")</f>
        <v>長杭○</v>
      </c>
      <c r="D39" s="154" t="str">
        <f>IF($D$16*1000/D20&gt;=10,"長杭○","短杭×")</f>
        <v>長杭○</v>
      </c>
      <c r="E39" s="155" t="str">
        <f>IF($D$16*1000/E20&gt;=10,"長杭○","短杭×")</f>
        <v>長杭○</v>
      </c>
      <c r="F39" s="156" t="str">
        <f>IF($D$16*1000/F20&gt;=10,"長杭○","短杭×")</f>
        <v>長杭○</v>
      </c>
      <c r="G39" s="236"/>
      <c r="H39" s="212" t="s">
        <v>130</v>
      </c>
      <c r="I39" s="213"/>
      <c r="J39" s="197"/>
      <c r="K39" s="214">
        <f>IF(I$23=4,0.2167,IF(I$23=3,0.1776,IF(I$23=2,0.1344,IF(I$23=1,0.0825,""))))</f>
        <v>0.1344</v>
      </c>
      <c r="L39" s="215"/>
      <c r="M39" s="84"/>
    </row>
    <row r="40" spans="1:13" ht="18.75" customHeight="1" thickBot="1">
      <c r="A40" s="123" t="s">
        <v>131</v>
      </c>
      <c r="B40" s="142"/>
      <c r="C40" s="129"/>
      <c r="D40" s="142"/>
      <c r="E40" s="142"/>
      <c r="F40" s="142"/>
      <c r="G40" s="151"/>
      <c r="H40" s="40" t="s">
        <v>132</v>
      </c>
      <c r="I40" s="59"/>
      <c r="J40" s="55">
        <f>IF(I$23=4,1700,IF(I$23=3,1348,IF(I$23=2,1103,IF(I$23=1,729,""))))</f>
        <v>1103</v>
      </c>
      <c r="K40" s="37">
        <f>IF(I$23=4,1743,IF(I$23=3,1385,IF(I$23=2,1134.4,IF(I$23=1,747,""))))</f>
        <v>1134.4</v>
      </c>
      <c r="L40" s="37">
        <f>IF(I$23=4,1545,IF(I$23=3,1230,IF(I$23=2,1004,IF(I$23=1,664,""))))</f>
        <v>1004</v>
      </c>
      <c r="M40" s="84"/>
    </row>
    <row r="41" spans="1:13" ht="18.75" customHeight="1" thickBot="1" thickTop="1">
      <c r="A41" s="130" t="s">
        <v>59</v>
      </c>
      <c r="B41" s="131" t="s">
        <v>60</v>
      </c>
      <c r="C41" s="133" t="s">
        <v>61</v>
      </c>
      <c r="D41" s="132" t="s">
        <v>62</v>
      </c>
      <c r="E41" s="220" t="s">
        <v>63</v>
      </c>
      <c r="F41" s="134" t="s">
        <v>64</v>
      </c>
      <c r="G41" s="150"/>
      <c r="H41" s="76"/>
      <c r="I41" s="61"/>
      <c r="J41" s="41"/>
      <c r="K41" s="41"/>
      <c r="L41" s="68"/>
      <c r="M41" s="78"/>
    </row>
    <row r="42" spans="1:13" ht="18.75" customHeight="1">
      <c r="A42" s="123" t="s">
        <v>133</v>
      </c>
      <c r="B42" s="186" t="s">
        <v>134</v>
      </c>
      <c r="C42" s="217">
        <v>464.4</v>
      </c>
      <c r="D42" s="223">
        <v>703.3</v>
      </c>
      <c r="E42" s="221">
        <v>859.7</v>
      </c>
      <c r="F42" s="226">
        <v>1083.6</v>
      </c>
      <c r="G42" s="148"/>
      <c r="H42" s="88"/>
      <c r="I42" s="64"/>
      <c r="J42" s="42"/>
      <c r="K42" s="42"/>
      <c r="L42" s="43"/>
      <c r="M42" s="78"/>
    </row>
    <row r="43" spans="1:13" ht="18.75" customHeight="1">
      <c r="A43" s="88"/>
      <c r="B43" s="229" t="s">
        <v>135</v>
      </c>
      <c r="C43" s="218">
        <v>475.9</v>
      </c>
      <c r="D43" s="224">
        <v>722.5</v>
      </c>
      <c r="E43" s="222">
        <v>882.8</v>
      </c>
      <c r="F43" s="227">
        <v>1110.6</v>
      </c>
      <c r="G43" s="72"/>
      <c r="H43" s="88"/>
      <c r="I43" s="64"/>
      <c r="J43" s="42"/>
      <c r="K43" s="42"/>
      <c r="L43" s="43"/>
      <c r="M43" s="78"/>
    </row>
    <row r="44" spans="1:13" ht="18.75" customHeight="1" thickBot="1">
      <c r="A44" s="88"/>
      <c r="B44" s="230" t="s">
        <v>136</v>
      </c>
      <c r="C44" s="219">
        <v>483.8</v>
      </c>
      <c r="D44" s="225">
        <v>731.1</v>
      </c>
      <c r="E44" s="222">
        <v>895.7</v>
      </c>
      <c r="F44" s="228">
        <v>1125.6</v>
      </c>
      <c r="G44" s="72"/>
      <c r="H44" s="88"/>
      <c r="I44" s="64"/>
      <c r="J44" s="42"/>
      <c r="K44" s="89"/>
      <c r="L44" s="43"/>
      <c r="M44" s="78"/>
    </row>
    <row r="45" spans="1:13" ht="18.75" customHeight="1" thickTop="1">
      <c r="A45" s="86"/>
      <c r="B45" s="86"/>
      <c r="C45" s="86"/>
      <c r="D45" s="86"/>
      <c r="E45" s="86"/>
      <c r="F45" s="86"/>
      <c r="G45" s="86"/>
      <c r="H45" s="89"/>
      <c r="I45" s="64"/>
      <c r="J45" s="42"/>
      <c r="K45" s="89"/>
      <c r="L45" s="43"/>
      <c r="M45" s="78"/>
    </row>
    <row r="46" spans="1:13" ht="18.75" customHeight="1">
      <c r="A46" s="89"/>
      <c r="B46" s="89"/>
      <c r="C46" s="89"/>
      <c r="D46" s="89"/>
      <c r="E46" s="89"/>
      <c r="F46" s="89"/>
      <c r="G46" s="89"/>
      <c r="H46" s="89"/>
      <c r="I46" s="64"/>
      <c r="J46" s="42"/>
      <c r="K46" s="89"/>
      <c r="L46" s="43"/>
      <c r="M46" s="78"/>
    </row>
    <row r="47" spans="1:13" ht="18.75" customHeight="1">
      <c r="A47" s="89"/>
      <c r="B47" s="89"/>
      <c r="C47" s="89"/>
      <c r="D47" s="89"/>
      <c r="E47" s="89"/>
      <c r="F47" s="89"/>
      <c r="G47" s="89"/>
      <c r="H47" s="89"/>
      <c r="I47" s="89"/>
      <c r="J47" s="89"/>
      <c r="K47" s="89"/>
      <c r="L47" s="78"/>
      <c r="M47" s="78"/>
    </row>
    <row r="48" spans="1:13" ht="18.75" customHeight="1">
      <c r="A48" s="85"/>
      <c r="B48" s="85" t="s">
        <v>137</v>
      </c>
      <c r="C48" s="86"/>
      <c r="D48" s="86"/>
      <c r="E48" s="86"/>
      <c r="F48" s="86"/>
      <c r="G48" s="86"/>
      <c r="H48" s="8">
        <v>1</v>
      </c>
      <c r="I48" s="93" t="str">
        <f>IF(H48=1,"検討する","しない")</f>
        <v>検討する</v>
      </c>
      <c r="J48" s="88"/>
      <c r="K48" s="78"/>
      <c r="L48" s="78"/>
      <c r="M48" s="78"/>
    </row>
    <row r="49" spans="1:13" ht="18.75" customHeight="1">
      <c r="A49" s="88"/>
      <c r="B49" s="85" t="s">
        <v>138</v>
      </c>
      <c r="C49" s="86" t="s">
        <v>139</v>
      </c>
      <c r="D49" s="86"/>
      <c r="E49" s="86"/>
      <c r="F49" s="86"/>
      <c r="G49" s="86"/>
      <c r="H49" s="86"/>
      <c r="I49" s="86"/>
      <c r="J49" s="86"/>
      <c r="K49" s="87"/>
      <c r="L49" s="84"/>
      <c r="M49" s="78"/>
    </row>
    <row r="50" spans="1:13" ht="18.75" customHeight="1">
      <c r="A50" s="88"/>
      <c r="B50" s="88"/>
      <c r="C50" s="44" t="s">
        <v>140</v>
      </c>
      <c r="D50" s="44"/>
      <c r="E50" s="44"/>
      <c r="F50" s="44"/>
      <c r="G50" s="44"/>
      <c r="H50" s="44"/>
      <c r="I50" s="44"/>
      <c r="J50" s="44"/>
      <c r="K50" s="78"/>
      <c r="L50" s="84"/>
      <c r="M50" s="78"/>
    </row>
    <row r="51" spans="1:13" ht="18.75" customHeight="1">
      <c r="A51" s="88"/>
      <c r="B51" s="90" t="s">
        <v>141</v>
      </c>
      <c r="C51" s="45"/>
      <c r="D51" s="85" t="s">
        <v>142</v>
      </c>
      <c r="E51" s="86"/>
      <c r="F51" s="81" t="s">
        <v>143</v>
      </c>
      <c r="G51" s="46" t="s">
        <v>144</v>
      </c>
      <c r="H51" s="46" t="s">
        <v>145</v>
      </c>
      <c r="I51" s="81" t="s">
        <v>146</v>
      </c>
      <c r="J51" s="46" t="s">
        <v>147</v>
      </c>
      <c r="K51" s="46" t="s">
        <v>148</v>
      </c>
      <c r="L51" s="84"/>
      <c r="M51" s="78"/>
    </row>
    <row r="52" spans="1:13" ht="18.75" customHeight="1">
      <c r="A52" s="88"/>
      <c r="B52" s="74" t="s">
        <v>149</v>
      </c>
      <c r="C52" s="47" t="s">
        <v>150</v>
      </c>
      <c r="D52" s="74" t="s">
        <v>42</v>
      </c>
      <c r="E52" s="47" t="s">
        <v>42</v>
      </c>
      <c r="F52" s="72"/>
      <c r="G52" s="47" t="s">
        <v>42</v>
      </c>
      <c r="H52" s="47"/>
      <c r="I52" s="74"/>
      <c r="J52" s="47" t="s">
        <v>42</v>
      </c>
      <c r="K52" s="20"/>
      <c r="L52" s="84"/>
      <c r="M52" s="78"/>
    </row>
    <row r="53" spans="1:13" ht="18.75" customHeight="1">
      <c r="A53" s="88"/>
      <c r="B53" s="81" t="s">
        <v>151</v>
      </c>
      <c r="C53" s="81" t="s">
        <v>152</v>
      </c>
      <c r="D53" s="16">
        <v>0</v>
      </c>
      <c r="E53" s="17">
        <v>4.62</v>
      </c>
      <c r="F53" s="16"/>
      <c r="G53" s="21">
        <f aca="true" t="shared" si="0" ref="G53:G67">IF(F53="","",ROUND(E53-D53,2))</f>
      </c>
      <c r="H53" s="22">
        <f aca="true" t="shared" si="1" ref="H53:H67">IF(F53="","",IF(ROUND((5*F53+30),2)&lt;=200,ROUND((5*F53+30)*G53,2),ROUND(200*G53,2)))</f>
      </c>
      <c r="I53" s="3"/>
      <c r="J53" s="21">
        <f aca="true" t="shared" si="2" ref="J53:J67">IF(I53="","",ROUND(E53-D53,2))</f>
      </c>
      <c r="K53" s="22">
        <f aca="true" t="shared" si="3" ref="K53:K67">IF(I53="","",IF(ROUND((6*I53+20),2)&lt;=100,ROUND((6*I53+20)*J53,2),ROUND(100*J53,2)))</f>
      </c>
      <c r="L53" s="84"/>
      <c r="M53" s="78"/>
    </row>
    <row r="54" spans="1:13" ht="18.75" customHeight="1">
      <c r="A54" s="88"/>
      <c r="B54" s="74" t="s">
        <v>153</v>
      </c>
      <c r="C54" s="74" t="s">
        <v>154</v>
      </c>
      <c r="D54" s="4">
        <v>4.62</v>
      </c>
      <c r="E54" s="5">
        <v>5.5</v>
      </c>
      <c r="F54" s="4">
        <v>21</v>
      </c>
      <c r="G54" s="23">
        <f t="shared" si="0"/>
        <v>0.88</v>
      </c>
      <c r="H54" s="24">
        <f t="shared" si="1"/>
        <v>118.8</v>
      </c>
      <c r="I54" s="94"/>
      <c r="J54" s="23">
        <f t="shared" si="2"/>
      </c>
      <c r="K54" s="24">
        <f t="shared" si="3"/>
      </c>
      <c r="L54" s="84"/>
      <c r="M54" s="78"/>
    </row>
    <row r="55" spans="1:13" ht="18.75" customHeight="1">
      <c r="A55" s="88"/>
      <c r="B55" s="74" t="s">
        <v>155</v>
      </c>
      <c r="C55" s="74" t="s">
        <v>156</v>
      </c>
      <c r="D55" s="4">
        <v>5.5</v>
      </c>
      <c r="E55" s="5">
        <v>6.5</v>
      </c>
      <c r="F55" s="4"/>
      <c r="G55" s="23">
        <f t="shared" si="0"/>
      </c>
      <c r="H55" s="24">
        <f t="shared" si="1"/>
      </c>
      <c r="I55" s="94">
        <v>4</v>
      </c>
      <c r="J55" s="23">
        <f t="shared" si="2"/>
        <v>1</v>
      </c>
      <c r="K55" s="24">
        <f t="shared" si="3"/>
        <v>44</v>
      </c>
      <c r="L55" s="84"/>
      <c r="M55" s="78"/>
    </row>
    <row r="56" spans="1:13" ht="18.75" customHeight="1">
      <c r="A56" s="88" t="s">
        <v>157</v>
      </c>
      <c r="B56" s="74" t="s">
        <v>158</v>
      </c>
      <c r="C56" s="74" t="s">
        <v>159</v>
      </c>
      <c r="D56" s="4">
        <v>6.5</v>
      </c>
      <c r="E56" s="5">
        <v>10.5</v>
      </c>
      <c r="F56" s="4"/>
      <c r="G56" s="23">
        <f t="shared" si="0"/>
      </c>
      <c r="H56" s="24">
        <f t="shared" si="1"/>
      </c>
      <c r="I56" s="94">
        <v>1.8</v>
      </c>
      <c r="J56" s="23">
        <f t="shared" si="2"/>
        <v>4</v>
      </c>
      <c r="K56" s="24">
        <f t="shared" si="3"/>
        <v>123.2</v>
      </c>
      <c r="L56" s="84"/>
      <c r="M56" s="78"/>
    </row>
    <row r="57" spans="1:13" ht="18.75" customHeight="1">
      <c r="A57" s="88"/>
      <c r="B57" s="74" t="s">
        <v>160</v>
      </c>
      <c r="C57" s="74" t="s">
        <v>161</v>
      </c>
      <c r="D57" s="4">
        <v>10.5</v>
      </c>
      <c r="E57" s="5">
        <v>11.9</v>
      </c>
      <c r="F57" s="4"/>
      <c r="G57" s="23">
        <f t="shared" si="0"/>
      </c>
      <c r="H57" s="24">
        <f t="shared" si="1"/>
      </c>
      <c r="I57" s="94">
        <v>7</v>
      </c>
      <c r="J57" s="23">
        <f t="shared" si="2"/>
        <v>1.4</v>
      </c>
      <c r="K57" s="24">
        <f t="shared" si="3"/>
        <v>86.8</v>
      </c>
      <c r="L57" s="84"/>
      <c r="M57" s="78"/>
    </row>
    <row r="58" spans="1:13" ht="18.75" customHeight="1">
      <c r="A58" s="88"/>
      <c r="B58" s="74" t="s">
        <v>158</v>
      </c>
      <c r="C58" s="74" t="s">
        <v>162</v>
      </c>
      <c r="D58" s="4">
        <v>11.9</v>
      </c>
      <c r="E58" s="5">
        <v>12.4</v>
      </c>
      <c r="F58" s="4">
        <v>14</v>
      </c>
      <c r="G58" s="23">
        <f t="shared" si="0"/>
        <v>0.5</v>
      </c>
      <c r="H58" s="24">
        <f t="shared" si="1"/>
        <v>50</v>
      </c>
      <c r="I58" s="94"/>
      <c r="J58" s="23">
        <f t="shared" si="2"/>
      </c>
      <c r="K58" s="24">
        <f t="shared" si="3"/>
      </c>
      <c r="L58" s="84"/>
      <c r="M58" s="78"/>
    </row>
    <row r="59" spans="1:13" ht="18.75" customHeight="1">
      <c r="A59" s="88"/>
      <c r="B59" s="74" t="s">
        <v>160</v>
      </c>
      <c r="C59" s="74" t="s">
        <v>163</v>
      </c>
      <c r="D59" s="4">
        <v>12.4</v>
      </c>
      <c r="E59" s="5">
        <v>13.1</v>
      </c>
      <c r="F59" s="4"/>
      <c r="G59" s="23">
        <f t="shared" si="0"/>
      </c>
      <c r="H59" s="24">
        <f t="shared" si="1"/>
      </c>
      <c r="I59" s="94">
        <v>0.1</v>
      </c>
      <c r="J59" s="23">
        <f t="shared" si="2"/>
        <v>0.7</v>
      </c>
      <c r="K59" s="24">
        <f t="shared" si="3"/>
        <v>14.42</v>
      </c>
      <c r="L59" s="84"/>
      <c r="M59" s="78"/>
    </row>
    <row r="60" spans="1:13" ht="18.75" customHeight="1">
      <c r="A60" s="88"/>
      <c r="B60" s="74"/>
      <c r="C60" s="74" t="s">
        <v>164</v>
      </c>
      <c r="D60" s="4">
        <v>13.1</v>
      </c>
      <c r="E60" s="5">
        <v>13.5</v>
      </c>
      <c r="F60" s="4">
        <v>21</v>
      </c>
      <c r="G60" s="23">
        <f t="shared" si="0"/>
        <v>0.4</v>
      </c>
      <c r="H60" s="24">
        <f t="shared" si="1"/>
        <v>54</v>
      </c>
      <c r="I60" s="94"/>
      <c r="J60" s="23">
        <f t="shared" si="2"/>
      </c>
      <c r="K60" s="24">
        <f t="shared" si="3"/>
      </c>
      <c r="L60" s="84"/>
      <c r="M60" s="78"/>
    </row>
    <row r="61" spans="1:13" ht="18.75" customHeight="1">
      <c r="A61" s="88"/>
      <c r="B61" s="74"/>
      <c r="C61" s="74" t="s">
        <v>165</v>
      </c>
      <c r="D61" s="4">
        <v>13.5</v>
      </c>
      <c r="E61" s="5">
        <v>14.3</v>
      </c>
      <c r="F61" s="4"/>
      <c r="G61" s="23">
        <f t="shared" si="0"/>
      </c>
      <c r="H61" s="24">
        <f t="shared" si="1"/>
      </c>
      <c r="I61" s="94">
        <v>13</v>
      </c>
      <c r="J61" s="23">
        <f t="shared" si="2"/>
        <v>0.8</v>
      </c>
      <c r="K61" s="24">
        <f t="shared" si="3"/>
        <v>78.4</v>
      </c>
      <c r="L61" s="84"/>
      <c r="M61" s="78"/>
    </row>
    <row r="62" spans="1:13" ht="18.75" customHeight="1">
      <c r="A62" s="88"/>
      <c r="B62" s="74"/>
      <c r="C62" s="74" t="s">
        <v>166</v>
      </c>
      <c r="D62" s="4">
        <v>14.3</v>
      </c>
      <c r="E62" s="5">
        <v>14.6</v>
      </c>
      <c r="F62" s="4">
        <v>13</v>
      </c>
      <c r="G62" s="23">
        <f t="shared" si="0"/>
        <v>0.3</v>
      </c>
      <c r="H62" s="24">
        <f t="shared" si="1"/>
        <v>28.5</v>
      </c>
      <c r="I62" s="94"/>
      <c r="J62" s="23">
        <f t="shared" si="2"/>
      </c>
      <c r="K62" s="24">
        <f t="shared" si="3"/>
      </c>
      <c r="L62" s="84"/>
      <c r="M62" s="78"/>
    </row>
    <row r="63" spans="1:13" ht="18.75" customHeight="1">
      <c r="A63" s="25" t="s">
        <v>167</v>
      </c>
      <c r="B63" s="74"/>
      <c r="C63" s="74" t="s">
        <v>168</v>
      </c>
      <c r="D63" s="4">
        <v>14.6</v>
      </c>
      <c r="E63" s="5">
        <v>15.5</v>
      </c>
      <c r="F63" s="4"/>
      <c r="G63" s="23">
        <f t="shared" si="0"/>
      </c>
      <c r="H63" s="24">
        <f t="shared" si="1"/>
      </c>
      <c r="I63" s="94">
        <v>6</v>
      </c>
      <c r="J63" s="23">
        <f t="shared" si="2"/>
        <v>0.9</v>
      </c>
      <c r="K63" s="24">
        <f t="shared" si="3"/>
        <v>50.4</v>
      </c>
      <c r="L63" s="84"/>
      <c r="M63" s="78"/>
    </row>
    <row r="64" spans="1:13" ht="18.75" customHeight="1">
      <c r="A64" s="25" t="s">
        <v>169</v>
      </c>
      <c r="B64" s="74"/>
      <c r="C64" s="74" t="s">
        <v>170</v>
      </c>
      <c r="D64" s="4">
        <v>15.5</v>
      </c>
      <c r="E64" s="5">
        <v>16.25</v>
      </c>
      <c r="F64" s="4">
        <v>0.1</v>
      </c>
      <c r="G64" s="23">
        <f t="shared" si="0"/>
        <v>0.75</v>
      </c>
      <c r="H64" s="24">
        <f t="shared" si="1"/>
        <v>22.88</v>
      </c>
      <c r="I64" s="94"/>
      <c r="J64" s="23">
        <f t="shared" si="2"/>
      </c>
      <c r="K64" s="24">
        <f t="shared" si="3"/>
      </c>
      <c r="L64" s="84"/>
      <c r="M64" s="78"/>
    </row>
    <row r="65" spans="1:13" ht="18.75" customHeight="1">
      <c r="A65" s="88"/>
      <c r="B65" s="74"/>
      <c r="C65" s="74" t="s">
        <v>171</v>
      </c>
      <c r="D65" s="4">
        <v>16.25</v>
      </c>
      <c r="E65" s="5">
        <v>16.8</v>
      </c>
      <c r="F65" s="4"/>
      <c r="G65" s="23">
        <f t="shared" si="0"/>
      </c>
      <c r="H65" s="24">
        <f t="shared" si="1"/>
      </c>
      <c r="I65" s="94">
        <v>25</v>
      </c>
      <c r="J65" s="23">
        <f t="shared" si="2"/>
        <v>0.55</v>
      </c>
      <c r="K65" s="24">
        <f t="shared" si="3"/>
        <v>55</v>
      </c>
      <c r="L65" s="84"/>
      <c r="M65" s="78"/>
    </row>
    <row r="66" spans="1:13" ht="18.75" customHeight="1">
      <c r="A66" s="88"/>
      <c r="B66" s="74"/>
      <c r="C66" s="74" t="s">
        <v>172</v>
      </c>
      <c r="D66" s="4">
        <v>16.8</v>
      </c>
      <c r="E66" s="5">
        <v>18.25</v>
      </c>
      <c r="F66" s="4"/>
      <c r="G66" s="23">
        <f t="shared" si="0"/>
      </c>
      <c r="H66" s="24">
        <f t="shared" si="1"/>
      </c>
      <c r="I66" s="94">
        <v>15</v>
      </c>
      <c r="J66" s="23">
        <f t="shared" si="2"/>
        <v>1.45</v>
      </c>
      <c r="K66" s="24">
        <f t="shared" si="3"/>
        <v>145</v>
      </c>
      <c r="L66" s="84"/>
      <c r="M66" s="78"/>
    </row>
    <row r="67" spans="1:13" ht="18.75" customHeight="1">
      <c r="A67" s="88"/>
      <c r="B67" s="74"/>
      <c r="C67" s="74" t="s">
        <v>173</v>
      </c>
      <c r="D67" s="4"/>
      <c r="E67" s="5"/>
      <c r="F67" s="4"/>
      <c r="G67" s="23">
        <f t="shared" si="0"/>
      </c>
      <c r="H67" s="24">
        <f t="shared" si="1"/>
      </c>
      <c r="I67" s="94"/>
      <c r="J67" s="23">
        <f t="shared" si="2"/>
      </c>
      <c r="K67" s="24">
        <f t="shared" si="3"/>
      </c>
      <c r="L67" s="84"/>
      <c r="M67" s="78"/>
    </row>
    <row r="68" spans="1:13" ht="18.75" customHeight="1">
      <c r="A68" s="88"/>
      <c r="B68" s="85" t="s">
        <v>174</v>
      </c>
      <c r="C68" s="86"/>
      <c r="D68" s="26"/>
      <c r="E68" s="26"/>
      <c r="F68" s="27"/>
      <c r="G68" s="28">
        <f>IF($H$48=2,"",ROUND(SUM(G53:G67),2))</f>
        <v>2.83</v>
      </c>
      <c r="H68" s="27"/>
      <c r="I68" s="27"/>
      <c r="J68" s="28">
        <f>IF($H$48=2,"",ROUND(SUM(J53:J67),2))</f>
        <v>10.8</v>
      </c>
      <c r="K68" s="29"/>
      <c r="L68" s="84"/>
      <c r="M68" s="78"/>
    </row>
    <row r="69" spans="1:13" ht="18.75" customHeight="1">
      <c r="A69" s="81" t="s">
        <v>175</v>
      </c>
      <c r="B69" s="30" t="s">
        <v>176</v>
      </c>
      <c r="C69" s="86"/>
      <c r="D69" s="31" t="s">
        <v>177</v>
      </c>
      <c r="E69" s="26"/>
      <c r="F69" s="57">
        <f>IF(F68="","",ROUND(F68/G68,2))</f>
      </c>
      <c r="G69" s="26"/>
      <c r="H69" s="32">
        <f>IF($H$48=2,"",SUM(H53:H67))</f>
        <v>274.18</v>
      </c>
      <c r="I69" s="57"/>
      <c r="J69" s="86"/>
      <c r="K69" s="32">
        <f>IF($H$48=2,"",SUM(K53:K67))</f>
        <v>597.22</v>
      </c>
      <c r="L69" s="84"/>
      <c r="M69" s="78"/>
    </row>
    <row r="70" spans="1:13" ht="16.5" customHeight="1">
      <c r="A70" s="86"/>
      <c r="B70" s="31"/>
      <c r="C70" s="31"/>
      <c r="D70" s="31"/>
      <c r="E70" s="31"/>
      <c r="F70" s="33"/>
      <c r="G70" s="33"/>
      <c r="H70" s="33"/>
      <c r="I70" s="33"/>
      <c r="J70" s="31"/>
      <c r="K70" s="34"/>
      <c r="L70" s="79"/>
      <c r="M70" s="78"/>
    </row>
    <row r="71" spans="1:13" ht="14.25">
      <c r="A71" s="89"/>
      <c r="B71" s="89"/>
      <c r="C71" s="89"/>
      <c r="D71" s="89"/>
      <c r="E71" s="89"/>
      <c r="F71" s="89"/>
      <c r="G71" s="89"/>
      <c r="H71" s="89"/>
      <c r="I71" s="89"/>
      <c r="J71" s="89"/>
      <c r="K71" s="78"/>
      <c r="L71" s="78"/>
      <c r="M71" s="78"/>
    </row>
  </sheetData>
  <sheetProtection/>
  <printOptions horizontalCentered="1"/>
  <pageMargins left="0.65" right="0.20069444444444445" top="0.5" bottom="0.5" header="0.512" footer="0.512"/>
  <pageSetup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ueno2</cp:lastModifiedBy>
  <cp:lastPrinted>2010-03-10T01:10:39Z</cp:lastPrinted>
  <dcterms:created xsi:type="dcterms:W3CDTF">2011-07-12T04:11:34Z</dcterms:created>
  <dcterms:modified xsi:type="dcterms:W3CDTF">2012-03-04T13:26:07Z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