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895" windowHeight="9090" activeTab="0"/>
  </bookViews>
  <sheets>
    <sheet name="摩擦杭　支持力計算(ＢＦＫ工法杭）" sheetId="1" r:id="rId1"/>
  </sheets>
  <definedNames>
    <definedName name="_xlnm.Print_Area" localSheetId="0">'摩擦杭　支持力計算(ＢＦＫ工法杭）'!$A$1:$M$69</definedName>
  </definedNames>
  <calcPr fullCalcOnLoad="1"/>
</workbook>
</file>

<file path=xl/sharedStrings.xml><?xml version="1.0" encoding="utf-8"?>
<sst xmlns="http://schemas.openxmlformats.org/spreadsheetml/2006/main" count="203" uniqueCount="159">
  <si>
    <t xml:space="preserve">  摩擦杭の許容支持力の算定</t>
  </si>
  <si>
    <t>下記の杭の許容支持力は地盤による支持力及び杭材から定まる支持力の内小さい方の耐力とする。</t>
  </si>
  <si>
    <t>杭条件及び摩擦力</t>
  </si>
  <si>
    <t>杭種別</t>
  </si>
  <si>
    <t>杭種</t>
  </si>
  <si>
    <t>種類</t>
  </si>
  <si>
    <t>設計杭種</t>
  </si>
  <si>
    <t xml:space="preserve"> 算定式</t>
  </si>
  <si>
    <t>Ra1=1/3｛αNpAp+[(4*Ns+34)*Ls+(7*Nc+20)*Lc]ψ｝</t>
  </si>
  <si>
    <t>上杭</t>
  </si>
  <si>
    <t>SC</t>
  </si>
  <si>
    <t>Ra2=(fc-σe)*A*(1-α1-α2)</t>
  </si>
  <si>
    <t>中杭</t>
  </si>
  <si>
    <t>BF</t>
  </si>
  <si>
    <t>A種</t>
  </si>
  <si>
    <t>σｅ：</t>
  </si>
  <si>
    <t>Ａ種4.0N/mm^2  Ｂ種8.0N/mm^2  Ｃ種10.0N/mm^2</t>
  </si>
  <si>
    <t>下杭</t>
  </si>
  <si>
    <t>ｆｃ：</t>
  </si>
  <si>
    <t>Ａ種20N/mm^2  Ｂ種24N/mm^2  Ｃ種24N/mm^2</t>
  </si>
  <si>
    <t>杭工法</t>
  </si>
  <si>
    <t>1:ＢＦＫ工法</t>
  </si>
  <si>
    <t>Ａｐ：</t>
  </si>
  <si>
    <t>杭節部で囲まれた面積（㎡）</t>
  </si>
  <si>
    <t>杭先端平均Ｎp</t>
  </si>
  <si>
    <t>5D1の平均</t>
  </si>
  <si>
    <t>α値：</t>
  </si>
  <si>
    <t>支持力係数α=150(ただしＮｐ＜５の場合はα=０）</t>
  </si>
  <si>
    <t>砂質部　Σfs*Ls</t>
  </si>
  <si>
    <t>(KN/m^2)</t>
  </si>
  <si>
    <t>表１より</t>
  </si>
  <si>
    <t>Ｎｐ：</t>
  </si>
  <si>
    <t>５Ｄ1の平均Ｎ値とする。（平均Nｐの最大値≦３０)</t>
  </si>
  <si>
    <t xml:space="preserve">         杭長Ls</t>
  </si>
  <si>
    <t>(m)</t>
  </si>
  <si>
    <t>自動入力</t>
  </si>
  <si>
    <t>Ｄ１：</t>
  </si>
  <si>
    <t>節部径とする。</t>
  </si>
  <si>
    <t>粘土部　Σfc*Lc</t>
  </si>
  <si>
    <t>ｆｓ：</t>
  </si>
  <si>
    <t>砂質土地盤中の杭周辺摩擦抵抗度（4*Ns+34）</t>
  </si>
  <si>
    <t xml:space="preserve">         杭長Lc</t>
  </si>
  <si>
    <t>但しfs≦150(KN/m^2)　とする。</t>
  </si>
  <si>
    <t>杭全長　　Ｌ</t>
  </si>
  <si>
    <t>m</t>
  </si>
  <si>
    <t>直接入力</t>
  </si>
  <si>
    <t>粘土地盤中の杭周辺摩擦抵抗度（7*Nc+20）</t>
  </si>
  <si>
    <t>但しfc≦150(KN/m^2)　とする。</t>
  </si>
  <si>
    <t>杭径（軸径－節径）</t>
  </si>
  <si>
    <t>(mm)</t>
  </si>
  <si>
    <t>300-450</t>
  </si>
  <si>
    <t>400-550</t>
  </si>
  <si>
    <t>450-600</t>
  </si>
  <si>
    <t>500-650</t>
  </si>
  <si>
    <t>600-750</t>
  </si>
  <si>
    <t>BF-DAM杭</t>
  </si>
  <si>
    <t>BF杭</t>
  </si>
  <si>
    <t>杭径（軸径）</t>
  </si>
  <si>
    <t>Ｄ　(mm)</t>
  </si>
  <si>
    <t>杭径</t>
  </si>
  <si>
    <t>換算Ae</t>
  </si>
  <si>
    <t>杭径（節径）</t>
  </si>
  <si>
    <t>Ｄ１(mm)</t>
  </si>
  <si>
    <t>A-D10</t>
  </si>
  <si>
    <t>A種-60</t>
  </si>
  <si>
    <t>杭節部断面積</t>
  </si>
  <si>
    <t>Ap(m^2)</t>
  </si>
  <si>
    <t>A-D13</t>
  </si>
  <si>
    <t>B種-60</t>
  </si>
  <si>
    <t>杭節部の周長</t>
  </si>
  <si>
    <t>ψ(m)</t>
  </si>
  <si>
    <t>A-D16</t>
  </si>
  <si>
    <t>C種-60</t>
  </si>
  <si>
    <t>杭工法　　1:摩擦杭工法(BFK工法)</t>
  </si>
  <si>
    <t>A-D19</t>
  </si>
  <si>
    <t>A種-65</t>
  </si>
  <si>
    <t>杭工法係数</t>
  </si>
  <si>
    <t>α</t>
  </si>
  <si>
    <t>B種-65</t>
  </si>
  <si>
    <t>先端支持耐力1/3Rp</t>
  </si>
  <si>
    <t>(1/3)αNpAp</t>
  </si>
  <si>
    <t>C種-65</t>
  </si>
  <si>
    <t>摩擦耐力  1/3Rfs</t>
  </si>
  <si>
    <t>1/3{(4Ns+34)Lsψ}</t>
  </si>
  <si>
    <t>　　　　  1/3Rfc</t>
  </si>
  <si>
    <t>1/3{(7Nc+20)Lcψ}</t>
  </si>
  <si>
    <t>A-D22</t>
  </si>
  <si>
    <t>地盤の設計耐力Ra1</t>
  </si>
  <si>
    <t>Ra1=R1+Rfs+Rfc</t>
  </si>
  <si>
    <t>A種-70</t>
  </si>
  <si>
    <t>杭の換算断面積Ａe（cm^2)</t>
  </si>
  <si>
    <t>B種-70</t>
  </si>
  <si>
    <t>杭材の最大耐力</t>
  </si>
  <si>
    <t xml:space="preserve">(fc-σe)Ae   </t>
  </si>
  <si>
    <t>C種-70</t>
  </si>
  <si>
    <t>長さ径比の低減率</t>
  </si>
  <si>
    <t>α1=(L/d-85)</t>
  </si>
  <si>
    <t>長さ径比の限界</t>
  </si>
  <si>
    <t>L/d&lt;110</t>
  </si>
  <si>
    <t>継ぎ手箇所（T・PJOINT時：無溶接）</t>
  </si>
  <si>
    <t>A-D25</t>
  </si>
  <si>
    <t>継手低減率</t>
  </si>
  <si>
    <t>α2</t>
  </si>
  <si>
    <t>A種-80</t>
  </si>
  <si>
    <t>地盤の許容耐力</t>
  </si>
  <si>
    <t>Ra1(KN)</t>
  </si>
  <si>
    <t>B種-80</t>
  </si>
  <si>
    <t>杭材の許容耐力</t>
  </si>
  <si>
    <t>Ra2(KN)</t>
  </si>
  <si>
    <t>C種-80</t>
  </si>
  <si>
    <t>設計採用長期杭耐力Ｒａ(KN)SI単位</t>
  </si>
  <si>
    <t>長杭・短杭の確認（短杭耐力低減する）</t>
  </si>
  <si>
    <t>摩擦杭（認定杭）の杭径選択は各支点の反力を求め、上記５種類の節杭の許容支持力</t>
  </si>
  <si>
    <t>A種-90</t>
  </si>
  <si>
    <t>に対しての経済的本数を別途にて選択するようにします。</t>
  </si>
  <si>
    <t>B種-90</t>
  </si>
  <si>
    <t>C種-90</t>
  </si>
  <si>
    <t>杭の周辺摩擦力の検討　１：検討する　２：しない</t>
  </si>
  <si>
    <t>表－１</t>
  </si>
  <si>
    <t>砂質土地盤の平均Ns値及び粘性土地盤の平均Ｎc値の計算</t>
  </si>
  <si>
    <t>(但しｆｓ=(4Ｎｓ+34)の値は１５０以下　ｆｃ=(7Nc+20)の値は１５０以下）</t>
  </si>
  <si>
    <t>ボーリング調査資料</t>
  </si>
  <si>
    <t>　GL以深の位置</t>
  </si>
  <si>
    <t>Ns</t>
  </si>
  <si>
    <t>Ls</t>
  </si>
  <si>
    <t>fs*Ls</t>
  </si>
  <si>
    <t>Nc</t>
  </si>
  <si>
    <t>Lc</t>
  </si>
  <si>
    <t>fc*Lc</t>
  </si>
  <si>
    <t>ＧＬ</t>
  </si>
  <si>
    <t>土質名</t>
  </si>
  <si>
    <t>番号</t>
  </si>
  <si>
    <t>砂質粘土</t>
  </si>
  <si>
    <t>NO1</t>
  </si>
  <si>
    <t>NO2</t>
  </si>
  <si>
    <t>砂</t>
  </si>
  <si>
    <t>NO3</t>
  </si>
  <si>
    <t>シルト質粘土</t>
  </si>
  <si>
    <t>NO4</t>
  </si>
  <si>
    <t>NO5</t>
  </si>
  <si>
    <t>シルト混じり砂</t>
  </si>
  <si>
    <t>NO6</t>
  </si>
  <si>
    <t>砂質シルト</t>
  </si>
  <si>
    <t>NO7</t>
  </si>
  <si>
    <t>NO8</t>
  </si>
  <si>
    <t>NO9</t>
  </si>
  <si>
    <t>砂混じり粘土</t>
  </si>
  <si>
    <t>NO10</t>
  </si>
  <si>
    <t>粘土混じり砂</t>
  </si>
  <si>
    <t>NO11</t>
  </si>
  <si>
    <t>NO12</t>
  </si>
  <si>
    <t>NO13</t>
  </si>
  <si>
    <t>NO14</t>
  </si>
  <si>
    <t>NO15</t>
  </si>
  <si>
    <t>Σ層厚</t>
  </si>
  <si>
    <t>Σfs*Ｌs</t>
  </si>
  <si>
    <t>Σfc*Ｌc</t>
  </si>
  <si>
    <r>
      <t>A</t>
    </r>
    <r>
      <rPr>
        <sz val="12"/>
        <rFont val="ＭＳ ゴシック"/>
        <family val="3"/>
      </rPr>
      <t>種</t>
    </r>
  </si>
  <si>
    <t>A種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</si>
</sst>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
  </numFmts>
  <fonts count="42">
    <font>
      <sz val="12"/>
      <name val="ＭＳ 明朝"/>
      <family val="1"/>
    </font>
    <font>
      <b/>
      <sz val="10"/>
      <name val="Arial"/>
      <family val="2"/>
    </font>
    <font>
      <i/>
      <sz val="10"/>
      <name val="Arial"/>
      <family val="2"/>
    </font>
    <font>
      <b/>
      <i/>
      <sz val="10"/>
      <name val="Arial"/>
      <family val="2"/>
    </font>
    <font>
      <sz val="12"/>
      <name val="ＭＳ ゴシック"/>
      <family val="3"/>
    </font>
    <font>
      <b/>
      <sz val="14"/>
      <color indexed="8"/>
      <name val="ＭＳ Ｐゴシック"/>
      <family val="3"/>
    </font>
    <font>
      <sz val="12"/>
      <color indexed="8"/>
      <name val="ＭＳ ゴシック"/>
      <family val="3"/>
    </font>
    <font>
      <sz val="6"/>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ck">
        <color indexed="8"/>
      </top>
      <bottom>
        <color indexed="63"/>
      </bottom>
    </border>
    <border>
      <left style="thick">
        <color indexed="8"/>
      </left>
      <right>
        <color indexed="63"/>
      </right>
      <top style="thick">
        <color indexed="8"/>
      </top>
      <bottom>
        <color indexed="63"/>
      </bottom>
    </border>
    <border>
      <left style="thin">
        <color indexed="8"/>
      </left>
      <right>
        <color indexed="63"/>
      </right>
      <top style="thick">
        <color indexed="8"/>
      </top>
      <bottom>
        <color indexed="63"/>
      </bottom>
    </border>
    <border>
      <left style="thick">
        <color indexed="8"/>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color indexed="63"/>
      </top>
      <bottom style="thick">
        <color indexed="8"/>
      </bottom>
    </border>
    <border>
      <left style="thick">
        <color indexed="8"/>
      </left>
      <right>
        <color indexed="63"/>
      </right>
      <top>
        <color indexed="63"/>
      </top>
      <bottom>
        <color indexed="63"/>
      </bottom>
    </border>
    <border>
      <left style="thick">
        <color indexed="8"/>
      </left>
      <right>
        <color indexed="63"/>
      </right>
      <top style="medium">
        <color indexed="8"/>
      </top>
      <bottom style="medium">
        <color indexed="8"/>
      </bottom>
    </border>
    <border>
      <left>
        <color indexed="63"/>
      </left>
      <right style="thick">
        <color indexed="8"/>
      </right>
      <top style="medium">
        <color indexed="8"/>
      </top>
      <bottom style="medium">
        <color indexed="8"/>
      </bottom>
    </border>
    <border diagonalUp="1">
      <left>
        <color indexed="63"/>
      </left>
      <right style="thick">
        <color indexed="8"/>
      </right>
      <top style="medium">
        <color indexed="8"/>
      </top>
      <bottom style="medium">
        <color indexed="8"/>
      </bottom>
      <diagonal style="thin">
        <color indexed="8"/>
      </diagonal>
    </border>
    <border>
      <left style="medium">
        <color indexed="8"/>
      </left>
      <right style="medium">
        <color indexed="8"/>
      </right>
      <top style="thick">
        <color indexed="8"/>
      </top>
      <bottom>
        <color indexed="63"/>
      </bottom>
    </border>
    <border>
      <left style="medium">
        <color indexed="8"/>
      </left>
      <right style="medium">
        <color indexed="8"/>
      </right>
      <top style="medium">
        <color indexed="8"/>
      </top>
      <bottom style="medium">
        <color indexed="8"/>
      </bottom>
    </border>
    <border diagonalUp="1">
      <left style="medium">
        <color indexed="8"/>
      </left>
      <right style="medium">
        <color indexed="8"/>
      </right>
      <top style="medium">
        <color indexed="8"/>
      </top>
      <bottom style="medium">
        <color indexed="8"/>
      </bottom>
      <diagonal style="thin">
        <color indexed="8"/>
      </diagonal>
    </border>
    <border>
      <left style="medium">
        <color indexed="8"/>
      </left>
      <right style="medium">
        <color indexed="8"/>
      </right>
      <top>
        <color indexed="63"/>
      </top>
      <bottom style="thick">
        <color indexed="8"/>
      </bottom>
    </border>
    <border>
      <left style="medium">
        <color indexed="8"/>
      </left>
      <right style="medium">
        <color indexed="8"/>
      </right>
      <top style="thick">
        <color indexed="8"/>
      </top>
      <bottom style="medium">
        <color indexed="8"/>
      </bottom>
    </border>
    <border>
      <left>
        <color indexed="63"/>
      </left>
      <right>
        <color indexed="63"/>
      </right>
      <top style="thin">
        <color indexed="8"/>
      </top>
      <bottom>
        <color indexed="63"/>
      </bottom>
    </border>
    <border>
      <left style="medium">
        <color indexed="8"/>
      </left>
      <right style="medium">
        <color indexed="8"/>
      </right>
      <top style="thin">
        <color indexed="8"/>
      </top>
      <bottom>
        <color indexed="63"/>
      </bottom>
    </border>
    <border>
      <left style="thick">
        <color indexed="8"/>
      </left>
      <right>
        <color indexed="63"/>
      </right>
      <top style="medium">
        <color indexed="8"/>
      </top>
      <bottom>
        <color indexed="63"/>
      </bottom>
    </border>
    <border>
      <left style="thin">
        <color indexed="8"/>
      </left>
      <right>
        <color indexed="63"/>
      </right>
      <top style="medium">
        <color indexed="8"/>
      </top>
      <bottom>
        <color indexed="63"/>
      </bottom>
    </border>
    <border>
      <left style="medium">
        <color indexed="8"/>
      </left>
      <right style="medium">
        <color indexed="8"/>
      </right>
      <top style="medium">
        <color indexed="8"/>
      </top>
      <bottom>
        <color indexed="63"/>
      </bottom>
    </border>
    <border>
      <left>
        <color indexed="63"/>
      </left>
      <right style="thick">
        <color indexed="8"/>
      </right>
      <top style="medium">
        <color indexed="8"/>
      </top>
      <bottom>
        <color indexed="63"/>
      </bottom>
    </border>
    <border>
      <left>
        <color indexed="63"/>
      </left>
      <right>
        <color indexed="63"/>
      </right>
      <top style="medium">
        <color indexed="8"/>
      </top>
      <bottom>
        <color indexed="63"/>
      </bottom>
    </border>
    <border>
      <left style="medium">
        <color indexed="8"/>
      </left>
      <right style="medium">
        <color indexed="8"/>
      </right>
      <top style="medium">
        <color indexed="8"/>
      </top>
      <bottom style="thick">
        <color indexed="8"/>
      </bottom>
    </border>
    <border>
      <left style="medium">
        <color indexed="8"/>
      </left>
      <right style="medium">
        <color indexed="8"/>
      </right>
      <top style="thin">
        <color indexed="8"/>
      </top>
      <bottom style="thick">
        <color indexed="8"/>
      </botto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43">
    <xf numFmtId="0" fontId="0" fillId="0" borderId="0" xfId="0" applyNumberFormat="1" applyFont="1" applyAlignment="1" applyProtection="1">
      <alignment/>
      <protection locked="0"/>
    </xf>
    <xf numFmtId="0" fontId="4" fillId="0" borderId="10" xfId="0" applyFont="1" applyBorder="1" applyAlignment="1">
      <alignment vertical="center"/>
    </xf>
    <xf numFmtId="0" fontId="4" fillId="0" borderId="10" xfId="0" applyFont="1" applyBorder="1" applyAlignment="1">
      <alignment horizontal="center" vertical="center"/>
    </xf>
    <xf numFmtId="2" fontId="6" fillId="33" borderId="11" xfId="0" applyNumberFormat="1" applyFont="1" applyFill="1" applyBorder="1" applyAlignment="1">
      <alignment vertical="center"/>
    </xf>
    <xf numFmtId="0" fontId="0" fillId="0" borderId="11" xfId="0" applyFont="1" applyBorder="1" applyAlignment="1">
      <alignment vertical="center"/>
    </xf>
    <xf numFmtId="2" fontId="4" fillId="33" borderId="11" xfId="0" applyNumberFormat="1" applyFont="1" applyFill="1" applyBorder="1" applyAlignment="1">
      <alignment vertical="center"/>
    </xf>
    <xf numFmtId="2" fontId="6" fillId="34" borderId="10" xfId="0" applyNumberFormat="1" applyFont="1" applyFill="1" applyBorder="1" applyAlignment="1">
      <alignment vertical="center"/>
    </xf>
    <xf numFmtId="0" fontId="0" fillId="34" borderId="10" xfId="0" applyFont="1" applyFill="1" applyBorder="1" applyAlignment="1">
      <alignment vertical="center"/>
    </xf>
    <xf numFmtId="0" fontId="4" fillId="35" borderId="11" xfId="0" applyFont="1" applyFill="1" applyBorder="1" applyAlignment="1">
      <alignment horizontal="center" vertical="center"/>
    </xf>
    <xf numFmtId="2" fontId="6" fillId="35" borderId="11" xfId="0" applyNumberFormat="1" applyFont="1" applyFill="1" applyBorder="1" applyAlignment="1">
      <alignment vertical="center"/>
    </xf>
    <xf numFmtId="2" fontId="6" fillId="35" borderId="12" xfId="0" applyNumberFormat="1" applyFont="1" applyFill="1" applyBorder="1" applyAlignment="1">
      <alignment vertical="center"/>
    </xf>
    <xf numFmtId="2" fontId="4" fillId="35" borderId="11" xfId="0" applyNumberFormat="1" applyFont="1" applyFill="1" applyBorder="1" applyAlignment="1">
      <alignment vertical="center"/>
    </xf>
    <xf numFmtId="2" fontId="6" fillId="35" borderId="13" xfId="0" applyNumberFormat="1" applyFont="1" applyFill="1" applyBorder="1" applyAlignment="1">
      <alignment vertical="center"/>
    </xf>
    <xf numFmtId="2" fontId="6" fillId="35" borderId="14" xfId="0" applyNumberFormat="1" applyFont="1" applyFill="1" applyBorder="1" applyAlignment="1">
      <alignment vertical="center"/>
    </xf>
    <xf numFmtId="2" fontId="4" fillId="35" borderId="13" xfId="0" applyNumberFormat="1" applyFont="1" applyFill="1" applyBorder="1" applyAlignment="1">
      <alignment vertical="center"/>
    </xf>
    <xf numFmtId="0" fontId="4" fillId="0" borderId="15" xfId="0" applyFont="1" applyBorder="1" applyAlignment="1">
      <alignment vertical="center"/>
    </xf>
    <xf numFmtId="0" fontId="4" fillId="0" borderId="15" xfId="0" applyFont="1" applyBorder="1" applyAlignment="1">
      <alignment horizontal="center" vertical="center"/>
    </xf>
    <xf numFmtId="0" fontId="6" fillId="34" borderId="15" xfId="0" applyFont="1" applyFill="1" applyBorder="1" applyAlignment="1">
      <alignment horizontal="center" vertical="center"/>
    </xf>
    <xf numFmtId="0" fontId="6" fillId="33" borderId="11" xfId="0" applyFont="1" applyFill="1" applyBorder="1" applyAlignment="1">
      <alignment horizontal="center" vertical="center"/>
    </xf>
    <xf numFmtId="0" fontId="4" fillId="33" borderId="0" xfId="0" applyFont="1" applyFill="1" applyAlignment="1">
      <alignment vertical="center"/>
    </xf>
    <xf numFmtId="0" fontId="4" fillId="0" borderId="10" xfId="0" applyNumberFormat="1" applyFont="1" applyBorder="1" applyAlignment="1">
      <alignment horizontal="centerContinuous" vertical="center" wrapText="1"/>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0" fillId="0" borderId="14" xfId="0" applyFont="1" applyBorder="1" applyAlignment="1">
      <alignment vertical="center"/>
    </xf>
    <xf numFmtId="2" fontId="4" fillId="0" borderId="12" xfId="0" applyNumberFormat="1" applyFont="1" applyBorder="1" applyAlignment="1">
      <alignment vertical="center"/>
    </xf>
    <xf numFmtId="2" fontId="6" fillId="34" borderId="12" xfId="0" applyNumberFormat="1" applyFont="1" applyFill="1" applyBorder="1" applyAlignment="1">
      <alignment vertical="center"/>
    </xf>
    <xf numFmtId="2" fontId="4" fillId="0" borderId="14" xfId="0" applyNumberFormat="1" applyFont="1" applyBorder="1" applyAlignment="1">
      <alignment vertical="center"/>
    </xf>
    <xf numFmtId="2" fontId="6" fillId="34" borderId="14" xfId="0" applyNumberFormat="1" applyFont="1" applyFill="1" applyBorder="1" applyAlignment="1">
      <alignment vertical="center"/>
    </xf>
    <xf numFmtId="2" fontId="4" fillId="0" borderId="10" xfId="0" applyNumberFormat="1" applyFont="1" applyBorder="1" applyAlignment="1">
      <alignment vertical="center"/>
    </xf>
    <xf numFmtId="2" fontId="6" fillId="34" borderId="11" xfId="0" applyNumberFormat="1" applyFont="1" applyFill="1" applyBorder="1" applyAlignment="1">
      <alignment vertical="center"/>
    </xf>
    <xf numFmtId="176" fontId="4" fillId="34" borderId="13" xfId="0" applyNumberFormat="1" applyFont="1" applyFill="1" applyBorder="1" applyAlignment="1">
      <alignment horizontal="center" vertical="center"/>
    </xf>
    <xf numFmtId="0" fontId="6" fillId="34" borderId="16" xfId="0" applyFont="1" applyFill="1" applyBorder="1" applyAlignment="1">
      <alignment horizontal="center" vertical="center"/>
    </xf>
    <xf numFmtId="2" fontId="4" fillId="0" borderId="11" xfId="0" applyNumberFormat="1" applyFont="1" applyBorder="1" applyAlignment="1">
      <alignment vertical="center"/>
    </xf>
    <xf numFmtId="2" fontId="4" fillId="0" borderId="13" xfId="0" applyNumberFormat="1" applyFont="1" applyBorder="1" applyAlignment="1">
      <alignment vertical="center"/>
    </xf>
    <xf numFmtId="2" fontId="4" fillId="34" borderId="16" xfId="0" applyNumberFormat="1" applyFont="1" applyFill="1" applyBorder="1" applyAlignment="1">
      <alignment horizontal="center" vertical="center"/>
    </xf>
    <xf numFmtId="0" fontId="0" fillId="34" borderId="0" xfId="0" applyFont="1" applyFill="1" applyAlignment="1">
      <alignment vertical="center"/>
    </xf>
    <xf numFmtId="0" fontId="4" fillId="0" borderId="10" xfId="0" applyFont="1" applyBorder="1" applyAlignment="1">
      <alignment horizontal="center" vertical="center"/>
    </xf>
    <xf numFmtId="0" fontId="6" fillId="34" borderId="10" xfId="0" applyFont="1" applyFill="1" applyBorder="1" applyAlignment="1">
      <alignment horizontal="center" vertical="center"/>
    </xf>
    <xf numFmtId="0" fontId="4" fillId="34" borderId="11" xfId="0" applyFont="1" applyFill="1" applyBorder="1" applyAlignment="1">
      <alignment vertical="center"/>
    </xf>
    <xf numFmtId="0" fontId="4" fillId="0" borderId="12" xfId="0" applyFont="1" applyBorder="1" applyAlignment="1">
      <alignment vertical="center"/>
    </xf>
    <xf numFmtId="0" fontId="0" fillId="0" borderId="10" xfId="0" applyNumberFormat="1" applyFont="1" applyBorder="1" applyAlignment="1">
      <alignment horizontal="centerContinuous" vertical="center"/>
    </xf>
    <xf numFmtId="0" fontId="4" fillId="0" borderId="16" xfId="0" applyFont="1" applyBorder="1" applyAlignment="1">
      <alignment horizontal="center" vertical="center"/>
    </xf>
    <xf numFmtId="0" fontId="4" fillId="34" borderId="16" xfId="0" applyFont="1" applyFill="1" applyBorder="1" applyAlignment="1">
      <alignment horizontal="center" vertical="center"/>
    </xf>
    <xf numFmtId="0" fontId="4" fillId="34" borderId="13" xfId="0" applyFont="1" applyFill="1" applyBorder="1" applyAlignment="1">
      <alignment horizontal="center" vertical="center"/>
    </xf>
    <xf numFmtId="0" fontId="4" fillId="0" borderId="13" xfId="0" applyFont="1" applyBorder="1" applyAlignment="1">
      <alignment vertical="center"/>
    </xf>
    <xf numFmtId="0" fontId="4" fillId="0" borderId="14" xfId="0" applyFont="1" applyBorder="1" applyAlignment="1">
      <alignment vertical="center"/>
    </xf>
    <xf numFmtId="0" fontId="4" fillId="34" borderId="10" xfId="0" applyFont="1" applyFill="1" applyBorder="1" applyAlignment="1">
      <alignment vertical="center"/>
    </xf>
    <xf numFmtId="0" fontId="0" fillId="0" borderId="0" xfId="0" applyFont="1" applyAlignment="1">
      <alignment vertical="center"/>
    </xf>
    <xf numFmtId="0" fontId="0" fillId="0" borderId="0" xfId="0" applyNumberFormat="1" applyFont="1" applyAlignment="1" applyProtection="1">
      <alignment vertical="center"/>
      <protection locked="0"/>
    </xf>
    <xf numFmtId="0" fontId="0" fillId="0" borderId="11" xfId="0" applyBorder="1" applyAlignment="1">
      <alignment vertical="center"/>
    </xf>
    <xf numFmtId="0" fontId="4" fillId="34" borderId="10" xfId="0" applyFont="1" applyFill="1" applyBorder="1" applyAlignment="1">
      <alignment vertical="center"/>
    </xf>
    <xf numFmtId="0" fontId="4" fillId="33" borderId="11" xfId="0" applyFont="1" applyFill="1" applyBorder="1" applyAlignment="1">
      <alignment horizontal="center" vertical="center"/>
    </xf>
    <xf numFmtId="0" fontId="5" fillId="33" borderId="10" xfId="0" applyFont="1" applyFill="1" applyBorder="1" applyAlignment="1">
      <alignment vertical="center"/>
    </xf>
    <xf numFmtId="0" fontId="6" fillId="33" borderId="10" xfId="0" applyFont="1" applyFill="1" applyBorder="1" applyAlignment="1">
      <alignment vertical="center"/>
    </xf>
    <xf numFmtId="0" fontId="0" fillId="33" borderId="10" xfId="0" applyFont="1" applyFill="1" applyBorder="1" applyAlignment="1">
      <alignment vertical="center"/>
    </xf>
    <xf numFmtId="0" fontId="0" fillId="0" borderId="16" xfId="0" applyFont="1" applyBorder="1" applyAlignment="1">
      <alignment vertical="center"/>
    </xf>
    <xf numFmtId="0" fontId="4" fillId="0" borderId="11" xfId="0" applyFont="1" applyBorder="1" applyAlignment="1">
      <alignment vertical="center"/>
    </xf>
    <xf numFmtId="0" fontId="4" fillId="0" borderId="10" xfId="0" applyFont="1" applyBorder="1" applyAlignment="1">
      <alignment vertical="center"/>
    </xf>
    <xf numFmtId="0" fontId="0" fillId="0" borderId="10" xfId="0" applyFont="1" applyBorder="1" applyAlignment="1">
      <alignment vertical="center"/>
    </xf>
    <xf numFmtId="0" fontId="4" fillId="0" borderId="11" xfId="0" applyNumberFormat="1" applyFont="1" applyBorder="1" applyAlignment="1">
      <alignment horizontal="centerContinuous" vertical="center"/>
    </xf>
    <xf numFmtId="0" fontId="4" fillId="0" borderId="11" xfId="0" applyFont="1" applyBorder="1" applyAlignment="1">
      <alignment horizontal="center" vertical="center"/>
    </xf>
    <xf numFmtId="0" fontId="4" fillId="0" borderId="16" xfId="0" applyFont="1" applyBorder="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13" xfId="0" applyFont="1" applyBorder="1" applyAlignment="1">
      <alignment horizontal="center" vertical="center"/>
    </xf>
    <xf numFmtId="0" fontId="4" fillId="0" borderId="17" xfId="0" applyNumberFormat="1" applyFont="1" applyBorder="1" applyAlignment="1">
      <alignment horizontal="centerContinuous" vertical="center"/>
    </xf>
    <xf numFmtId="0" fontId="0" fillId="0" borderId="17" xfId="0" applyNumberFormat="1" applyFont="1" applyBorder="1" applyAlignment="1">
      <alignment horizontal="centerContinuous"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7" xfId="0" applyFont="1" applyBorder="1" applyAlignment="1">
      <alignment horizontal="left" vertical="center"/>
    </xf>
    <xf numFmtId="0" fontId="4" fillId="0" borderId="19" xfId="0" applyFont="1" applyBorder="1" applyAlignment="1">
      <alignment horizontal="center" vertical="center"/>
    </xf>
    <xf numFmtId="0" fontId="4" fillId="35" borderId="18" xfId="0" applyFont="1" applyFill="1" applyBorder="1" applyAlignment="1">
      <alignment horizontal="center" vertical="center"/>
    </xf>
    <xf numFmtId="0" fontId="4" fillId="0" borderId="0" xfId="0" applyFont="1" applyBorder="1" applyAlignment="1">
      <alignment vertical="center"/>
    </xf>
    <xf numFmtId="0" fontId="4" fillId="0" borderId="20" xfId="0" applyFont="1" applyBorder="1" applyAlignment="1">
      <alignment horizontal="center" vertical="center"/>
    </xf>
    <xf numFmtId="0" fontId="4" fillId="35" borderId="21" xfId="0" applyFont="1" applyFill="1" applyBorder="1" applyAlignment="1">
      <alignment horizontal="center" vertical="center"/>
    </xf>
    <xf numFmtId="0" fontId="4" fillId="0" borderId="21" xfId="0" applyFont="1" applyBorder="1" applyAlignment="1">
      <alignment vertical="center"/>
    </xf>
    <xf numFmtId="0" fontId="4" fillId="0" borderId="22" xfId="0" applyFont="1" applyBorder="1" applyAlignment="1">
      <alignment vertical="center"/>
    </xf>
    <xf numFmtId="0" fontId="6" fillId="35" borderId="21" xfId="0" applyFont="1" applyFill="1" applyBorder="1" applyAlignment="1">
      <alignment horizontal="center" vertical="center"/>
    </xf>
    <xf numFmtId="0" fontId="6" fillId="33" borderId="21" xfId="0" applyFont="1" applyFill="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6" fillId="35" borderId="23" xfId="0" applyFont="1" applyFill="1" applyBorder="1" applyAlignment="1">
      <alignment horizontal="center" vertical="center"/>
    </xf>
    <xf numFmtId="0" fontId="4" fillId="0" borderId="24" xfId="0" applyNumberFormat="1" applyFont="1" applyBorder="1" applyAlignment="1">
      <alignment horizontal="centerContinuous" vertical="center"/>
    </xf>
    <xf numFmtId="0" fontId="4" fillId="35" borderId="10" xfId="0" applyFont="1" applyFill="1" applyBorder="1" applyAlignment="1">
      <alignment horizontal="center" vertical="center"/>
    </xf>
    <xf numFmtId="176" fontId="4" fillId="34" borderId="25" xfId="0" applyNumberFormat="1" applyFont="1" applyFill="1" applyBorder="1" applyAlignment="1">
      <alignment horizontal="center" vertical="center"/>
    </xf>
    <xf numFmtId="0" fontId="4" fillId="0" borderId="25" xfId="0" applyFont="1" applyBorder="1" applyAlignment="1">
      <alignment horizontal="center" vertical="center"/>
    </xf>
    <xf numFmtId="0" fontId="4" fillId="34" borderId="25" xfId="0" applyFont="1" applyFill="1" applyBorder="1" applyAlignment="1">
      <alignment horizontal="center" vertical="center"/>
    </xf>
    <xf numFmtId="2" fontId="4" fillId="0" borderId="25" xfId="0" applyNumberFormat="1" applyFont="1" applyBorder="1" applyAlignment="1">
      <alignment vertical="center"/>
    </xf>
    <xf numFmtId="0" fontId="4" fillId="35" borderId="20" xfId="0" applyFont="1" applyFill="1" applyBorder="1" applyAlignment="1">
      <alignment horizontal="center" vertical="center"/>
    </xf>
    <xf numFmtId="176" fontId="4" fillId="34" borderId="26" xfId="0" applyNumberFormat="1" applyFont="1" applyFill="1" applyBorder="1" applyAlignment="1">
      <alignment horizontal="center" vertical="center"/>
    </xf>
    <xf numFmtId="0" fontId="4" fillId="0" borderId="26" xfId="0" applyFont="1" applyBorder="1" applyAlignment="1">
      <alignment horizontal="center" vertical="center"/>
    </xf>
    <xf numFmtId="0" fontId="4" fillId="34" borderId="26" xfId="0" applyFont="1" applyFill="1" applyBorder="1" applyAlignment="1">
      <alignment horizontal="center" vertical="center"/>
    </xf>
    <xf numFmtId="2" fontId="4" fillId="0" borderId="26" xfId="0" applyNumberFormat="1" applyFont="1" applyBorder="1" applyAlignment="1">
      <alignment vertical="center"/>
    </xf>
    <xf numFmtId="0" fontId="4" fillId="34" borderId="27" xfId="0" applyFont="1" applyFill="1" applyBorder="1" applyAlignment="1">
      <alignment vertical="center"/>
    </xf>
    <xf numFmtId="0" fontId="4" fillId="34" borderId="28" xfId="0" applyFont="1" applyFill="1" applyBorder="1" applyAlignment="1">
      <alignment vertical="center"/>
    </xf>
    <xf numFmtId="0" fontId="4" fillId="35" borderId="27" xfId="0" applyFont="1" applyFill="1" applyBorder="1" applyAlignment="1">
      <alignment horizontal="center" vertical="center"/>
    </xf>
    <xf numFmtId="0" fontId="4" fillId="35" borderId="29" xfId="0" applyFont="1" applyFill="1" applyBorder="1" applyAlignment="1">
      <alignment horizontal="center" vertical="center"/>
    </xf>
    <xf numFmtId="0" fontId="4" fillId="35" borderId="30" xfId="0" applyFont="1" applyFill="1" applyBorder="1" applyAlignment="1">
      <alignment horizontal="center" vertical="center"/>
    </xf>
    <xf numFmtId="0" fontId="4" fillId="35" borderId="27" xfId="0" applyFont="1" applyFill="1" applyBorder="1" applyAlignment="1">
      <alignment horizontal="center" vertical="center"/>
    </xf>
    <xf numFmtId="0" fontId="4" fillId="35" borderId="29" xfId="0" applyFont="1" applyFill="1" applyBorder="1" applyAlignment="1">
      <alignment horizontal="center" vertical="center"/>
    </xf>
    <xf numFmtId="0" fontId="4" fillId="35" borderId="30" xfId="0" applyFont="1" applyFill="1" applyBorder="1" applyAlignment="1">
      <alignment horizontal="center" vertical="center"/>
    </xf>
    <xf numFmtId="0" fontId="4" fillId="0" borderId="27" xfId="0" applyFont="1" applyBorder="1" applyAlignment="1">
      <alignment vertical="center"/>
    </xf>
    <xf numFmtId="0" fontId="4" fillId="0" borderId="28" xfId="0" applyFont="1" applyBorder="1" applyAlignment="1">
      <alignment vertical="center"/>
    </xf>
    <xf numFmtId="0" fontId="4" fillId="34" borderId="27" xfId="0" applyFont="1" applyFill="1" applyBorder="1" applyAlignment="1">
      <alignment horizontal="center" vertical="center"/>
    </xf>
    <xf numFmtId="0" fontId="4" fillId="34" borderId="29" xfId="0" applyFont="1" applyFill="1" applyBorder="1" applyAlignment="1">
      <alignment horizontal="center" vertical="center"/>
    </xf>
    <xf numFmtId="0" fontId="4" fillId="34" borderId="30" xfId="0" applyFont="1" applyFill="1" applyBorder="1" applyAlignment="1">
      <alignment horizontal="center" vertical="center"/>
    </xf>
    <xf numFmtId="0" fontId="4" fillId="0" borderId="31" xfId="0" applyFont="1" applyBorder="1" applyAlignment="1">
      <alignment vertical="center"/>
    </xf>
    <xf numFmtId="0" fontId="6" fillId="35" borderId="27" xfId="0" applyFont="1" applyFill="1" applyBorder="1" applyAlignment="1">
      <alignment horizontal="center" vertical="center"/>
    </xf>
    <xf numFmtId="0" fontId="6" fillId="35" borderId="29" xfId="0" applyFont="1" applyFill="1" applyBorder="1" applyAlignment="1">
      <alignment horizontal="center" vertical="center"/>
    </xf>
    <xf numFmtId="0" fontId="6" fillId="35" borderId="30" xfId="0" applyFont="1" applyFill="1" applyBorder="1" applyAlignment="1">
      <alignment horizontal="center" vertical="center"/>
    </xf>
    <xf numFmtId="2" fontId="4" fillId="0" borderId="27" xfId="0" applyNumberFormat="1" applyFont="1" applyBorder="1" applyAlignment="1">
      <alignment vertical="center"/>
    </xf>
    <xf numFmtId="2" fontId="4" fillId="0" borderId="29" xfId="0" applyNumberFormat="1" applyFont="1" applyBorder="1" applyAlignment="1">
      <alignment vertical="center"/>
    </xf>
    <xf numFmtId="2" fontId="4" fillId="0" borderId="30" xfId="0" applyNumberFormat="1" applyFont="1" applyBorder="1" applyAlignment="1">
      <alignment vertical="center"/>
    </xf>
    <xf numFmtId="0" fontId="4" fillId="33" borderId="27" xfId="0" applyFont="1" applyFill="1" applyBorder="1" applyAlignment="1">
      <alignment vertical="center"/>
    </xf>
    <xf numFmtId="0" fontId="4" fillId="33" borderId="28" xfId="0" applyFont="1" applyFill="1" applyBorder="1" applyAlignment="1">
      <alignment vertical="center"/>
    </xf>
    <xf numFmtId="177" fontId="4" fillId="33" borderId="27" xfId="0" applyNumberFormat="1" applyFont="1" applyFill="1" applyBorder="1" applyAlignment="1">
      <alignment vertical="center"/>
    </xf>
    <xf numFmtId="177" fontId="4" fillId="33" borderId="29" xfId="0" applyNumberFormat="1" applyFont="1" applyFill="1" applyBorder="1" applyAlignment="1">
      <alignment vertical="center"/>
    </xf>
    <xf numFmtId="177" fontId="4" fillId="33" borderId="30" xfId="0" applyNumberFormat="1" applyFont="1" applyFill="1" applyBorder="1" applyAlignment="1">
      <alignment vertical="center"/>
    </xf>
    <xf numFmtId="0" fontId="4" fillId="0" borderId="27"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33" borderId="27" xfId="0" applyFont="1" applyFill="1" applyBorder="1" applyAlignment="1">
      <alignment vertical="center"/>
    </xf>
    <xf numFmtId="0" fontId="4" fillId="33" borderId="31" xfId="0" applyFont="1" applyFill="1" applyBorder="1" applyAlignment="1">
      <alignment vertical="center"/>
    </xf>
    <xf numFmtId="0" fontId="4" fillId="33" borderId="27" xfId="0" applyFont="1" applyFill="1" applyBorder="1" applyAlignment="1">
      <alignment horizontal="center" vertical="center"/>
    </xf>
    <xf numFmtId="0" fontId="4" fillId="33" borderId="29" xfId="0" applyFont="1" applyFill="1" applyBorder="1" applyAlignment="1">
      <alignment horizontal="center" vertical="center"/>
    </xf>
    <xf numFmtId="0" fontId="4" fillId="33" borderId="30" xfId="0" applyFont="1" applyFill="1" applyBorder="1" applyAlignment="1">
      <alignment horizontal="center" vertical="center"/>
    </xf>
    <xf numFmtId="0" fontId="4" fillId="33" borderId="32" xfId="0" applyFont="1" applyFill="1" applyBorder="1" applyAlignment="1">
      <alignment horizontal="center" vertical="center"/>
    </xf>
    <xf numFmtId="0" fontId="4" fillId="34" borderId="27" xfId="0" applyFont="1" applyFill="1" applyBorder="1" applyAlignment="1">
      <alignment horizontal="center" vertical="center"/>
    </xf>
    <xf numFmtId="0" fontId="6" fillId="34" borderId="27" xfId="0" applyFont="1" applyFill="1" applyBorder="1" applyAlignment="1">
      <alignment horizontal="center" vertical="center"/>
    </xf>
    <xf numFmtId="0" fontId="0" fillId="0" borderId="25" xfId="0" applyFont="1" applyBorder="1" applyAlignment="1">
      <alignment vertical="center"/>
    </xf>
    <xf numFmtId="0" fontId="4" fillId="0" borderId="20" xfId="0" applyNumberFormat="1" applyFont="1" applyBorder="1" applyAlignment="1">
      <alignment horizontal="centerContinuous" vertical="center"/>
    </xf>
    <xf numFmtId="0" fontId="4" fillId="34" borderId="29" xfId="0" applyFont="1" applyFill="1" applyBorder="1" applyAlignment="1">
      <alignment horizontal="center" vertical="center"/>
    </xf>
    <xf numFmtId="0" fontId="4" fillId="34" borderId="26" xfId="0" applyFont="1" applyFill="1" applyBorder="1" applyAlignment="1">
      <alignment horizontal="center" vertical="center"/>
    </xf>
    <xf numFmtId="0" fontId="6" fillId="34" borderId="26" xfId="0" applyFont="1" applyFill="1" applyBorder="1" applyAlignment="1">
      <alignment horizontal="center" vertical="center"/>
    </xf>
    <xf numFmtId="1" fontId="4" fillId="34" borderId="26" xfId="0" applyNumberFormat="1" applyFont="1" applyFill="1" applyBorder="1" applyAlignment="1">
      <alignment horizontal="center" vertical="center"/>
    </xf>
    <xf numFmtId="2" fontId="4" fillId="34" borderId="26" xfId="0" applyNumberFormat="1" applyFont="1" applyFill="1" applyBorder="1" applyAlignment="1">
      <alignment horizontal="center" vertical="center"/>
    </xf>
    <xf numFmtId="1" fontId="4" fillId="34" borderId="29" xfId="0" applyNumberFormat="1" applyFont="1" applyFill="1" applyBorder="1" applyAlignment="1">
      <alignment horizontal="center" vertical="center"/>
    </xf>
    <xf numFmtId="177" fontId="4" fillId="34" borderId="29" xfId="0" applyNumberFormat="1" applyFont="1" applyFill="1" applyBorder="1" applyAlignment="1">
      <alignment horizontal="center" vertical="center"/>
    </xf>
    <xf numFmtId="177" fontId="4" fillId="34" borderId="26" xfId="0" applyNumberFormat="1" applyFont="1" applyFill="1" applyBorder="1" applyAlignment="1">
      <alignment horizontal="center" vertical="center"/>
    </xf>
    <xf numFmtId="0" fontId="4" fillId="0" borderId="26" xfId="0" applyFont="1" applyBorder="1" applyAlignment="1">
      <alignment vertical="center"/>
    </xf>
    <xf numFmtId="0" fontId="4" fillId="34" borderId="33" xfId="0" applyFont="1" applyFill="1" applyBorder="1" applyAlignment="1">
      <alignment horizontal="center" vertical="center"/>
    </xf>
    <xf numFmtId="0" fontId="4" fillId="34" borderId="33" xfId="0" applyFont="1" applyFill="1" applyBorder="1" applyAlignment="1">
      <alignment horizontal="center" vertical="center"/>
    </xf>
    <xf numFmtId="0" fontId="4" fillId="0" borderId="33" xfId="0" applyFont="1" applyBorder="1" applyAlignment="1">
      <alignment vertical="center"/>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 Id="rId3" Type="http://schemas.openxmlformats.org/officeDocument/2006/relationships/hyperlink" Target="http://www.forum-design.co.jp/" TargetMode="External" /><Relationship Id="rId4" Type="http://schemas.openxmlformats.org/officeDocument/2006/relationships/hyperlink" Target="http://www.forum-design.co.jp/"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16</xdr:row>
      <xdr:rowOff>9525</xdr:rowOff>
    </xdr:from>
    <xdr:to>
      <xdr:col>8</xdr:col>
      <xdr:colOff>0</xdr:colOff>
      <xdr:row>17</xdr:row>
      <xdr:rowOff>228600</xdr:rowOff>
    </xdr:to>
    <xdr:sp>
      <xdr:nvSpPr>
        <xdr:cNvPr id="1" name="Line 1"/>
        <xdr:cNvSpPr>
          <a:spLocks/>
        </xdr:cNvSpPr>
      </xdr:nvSpPr>
      <xdr:spPr>
        <a:xfrm>
          <a:off x="7810500" y="5410200"/>
          <a:ext cx="81915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190500</xdr:colOff>
      <xdr:row>50</xdr:row>
      <xdr:rowOff>219075</xdr:rowOff>
    </xdr:from>
    <xdr:to>
      <xdr:col>0</xdr:col>
      <xdr:colOff>1428750</xdr:colOff>
      <xdr:row>65</xdr:row>
      <xdr:rowOff>219075</xdr:rowOff>
    </xdr:to>
    <xdr:pic>
      <xdr:nvPicPr>
        <xdr:cNvPr id="2" name="Picture 2"/>
        <xdr:cNvPicPr preferRelativeResize="1">
          <a:picLocks noChangeAspect="1"/>
        </xdr:cNvPicPr>
      </xdr:nvPicPr>
      <xdr:blipFill>
        <a:blip r:embed="rId1"/>
        <a:stretch>
          <a:fillRect/>
        </a:stretch>
      </xdr:blipFill>
      <xdr:spPr>
        <a:xfrm>
          <a:off x="190500" y="13716000"/>
          <a:ext cx="1238250" cy="3571875"/>
        </a:xfrm>
        <a:prstGeom prst="rect">
          <a:avLst/>
        </a:prstGeom>
        <a:noFill/>
        <a:ln w="9525" cmpd="sng">
          <a:noFill/>
        </a:ln>
      </xdr:spPr>
    </xdr:pic>
    <xdr:clientData/>
  </xdr:twoCellAnchor>
  <xdr:twoCellAnchor editAs="oneCell">
    <xdr:from>
      <xdr:col>1</xdr:col>
      <xdr:colOff>571500</xdr:colOff>
      <xdr:row>0</xdr:row>
      <xdr:rowOff>0</xdr:rowOff>
    </xdr:from>
    <xdr:to>
      <xdr:col>11</xdr:col>
      <xdr:colOff>104775</xdr:colOff>
      <xdr:row>0</xdr:row>
      <xdr:rowOff>1428750</xdr:rowOff>
    </xdr:to>
    <xdr:pic>
      <xdr:nvPicPr>
        <xdr:cNvPr id="3" name="図 4">
          <a:hlinkClick r:id="rId4"/>
        </xdr:cNvPr>
        <xdr:cNvPicPr preferRelativeResize="1">
          <a:picLocks noChangeAspect="1"/>
        </xdr:cNvPicPr>
      </xdr:nvPicPr>
      <xdr:blipFill>
        <a:blip r:embed="rId2"/>
        <a:stretch>
          <a:fillRect/>
        </a:stretch>
      </xdr:blipFill>
      <xdr:spPr>
        <a:xfrm>
          <a:off x="2247900" y="0"/>
          <a:ext cx="9239250" cy="1428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0"/>
  <sheetViews>
    <sheetView tabSelected="1" showOutlineSymbols="0" zoomScale="85" zoomScaleNormal="85" zoomScalePageLayoutView="0" workbookViewId="0" topLeftCell="A1">
      <selection activeCell="O19" sqref="O19"/>
    </sheetView>
  </sheetViews>
  <sheetFormatPr defaultColWidth="10.796875" defaultRowHeight="15"/>
  <cols>
    <col min="1" max="1" width="17.59765625" style="48" customWidth="1"/>
    <col min="2" max="2" width="19.59765625" style="48" customWidth="1"/>
    <col min="3" max="4" width="8.69921875" style="48" customWidth="1"/>
    <col min="5" max="5" width="9.8984375" style="48" customWidth="1"/>
    <col min="6" max="9" width="8.69921875" style="48" customWidth="1"/>
    <col min="10" max="10" width="11.5" style="48" customWidth="1"/>
    <col min="11" max="11" width="8.69921875" style="48" customWidth="1"/>
    <col min="12" max="12" width="11.59765625" style="48" customWidth="1"/>
    <col min="13" max="13" width="3.5" style="48" customWidth="1"/>
    <col min="14" max="16384" width="10.69921875" style="48" customWidth="1"/>
  </cols>
  <sheetData>
    <row r="1" spans="1:13" ht="135.75" customHeight="1">
      <c r="A1" s="47"/>
      <c r="B1" s="47"/>
      <c r="C1" s="47"/>
      <c r="D1" s="47"/>
      <c r="E1" s="47"/>
      <c r="F1" s="47"/>
      <c r="G1" s="47"/>
      <c r="H1" s="47"/>
      <c r="I1" s="47"/>
      <c r="J1" s="47"/>
      <c r="K1" s="47"/>
      <c r="L1" s="47"/>
      <c r="M1" s="47"/>
    </row>
    <row r="2" spans="1:13" ht="27" customHeight="1">
      <c r="A2" s="49" t="s">
        <v>0</v>
      </c>
      <c r="B2" s="1"/>
      <c r="C2" s="46"/>
      <c r="D2" s="50"/>
      <c r="E2" s="50"/>
      <c r="F2" s="2"/>
      <c r="G2" s="51"/>
      <c r="H2" s="52" t="str">
        <f>IF(C22=1,"ＢＦＫ工法（建設省井住指発第５号の計算)","")</f>
        <v>ＢＦＫ工法（建設省井住指発第５号の計算)</v>
      </c>
      <c r="I2" s="53"/>
      <c r="J2" s="53"/>
      <c r="K2" s="53"/>
      <c r="L2" s="54"/>
      <c r="M2" s="55"/>
    </row>
    <row r="3" spans="1:13" ht="18.75" customHeight="1" thickBot="1" thickTop="1">
      <c r="A3" s="56"/>
      <c r="B3" s="57" t="s">
        <v>1</v>
      </c>
      <c r="C3" s="57"/>
      <c r="D3" s="57"/>
      <c r="E3" s="57"/>
      <c r="F3" s="57"/>
      <c r="G3" s="57"/>
      <c r="H3" s="57"/>
      <c r="I3" s="57"/>
      <c r="J3" s="57"/>
      <c r="K3" s="57"/>
      <c r="L3" s="58"/>
      <c r="M3" s="55"/>
    </row>
    <row r="4" spans="1:13" ht="18.75" customHeight="1" thickBot="1" thickTop="1">
      <c r="A4" s="56" t="s">
        <v>2</v>
      </c>
      <c r="B4" s="82" t="s">
        <v>3</v>
      </c>
      <c r="C4" s="73" t="s">
        <v>4</v>
      </c>
      <c r="D4" s="73" t="s">
        <v>5</v>
      </c>
      <c r="E4" s="36" t="s">
        <v>6</v>
      </c>
      <c r="F4" s="61" t="s">
        <v>7</v>
      </c>
      <c r="G4" s="62" t="s">
        <v>8</v>
      </c>
      <c r="H4" s="62"/>
      <c r="I4" s="62"/>
      <c r="J4" s="62"/>
      <c r="K4" s="62"/>
      <c r="L4" s="47"/>
      <c r="M4" s="55"/>
    </row>
    <row r="5" spans="1:13" ht="18.75" customHeight="1" thickBot="1" thickTop="1">
      <c r="A5" s="56"/>
      <c r="B5" s="65" t="s">
        <v>9</v>
      </c>
      <c r="C5" s="74" t="s">
        <v>10</v>
      </c>
      <c r="D5" s="74"/>
      <c r="E5" s="70"/>
      <c r="F5" s="61"/>
      <c r="G5" s="62" t="s">
        <v>11</v>
      </c>
      <c r="H5" s="62"/>
      <c r="I5" s="62"/>
      <c r="J5" s="62"/>
      <c r="K5" s="62"/>
      <c r="L5" s="47"/>
      <c r="M5" s="55"/>
    </row>
    <row r="6" spans="1:13" ht="18.75" customHeight="1" thickBot="1">
      <c r="A6" s="61"/>
      <c r="B6" s="66" t="s">
        <v>12</v>
      </c>
      <c r="C6" s="74" t="s">
        <v>13</v>
      </c>
      <c r="D6" s="74" t="s">
        <v>14</v>
      </c>
      <c r="E6" s="71" t="s">
        <v>157</v>
      </c>
      <c r="F6" s="61"/>
      <c r="G6" s="63" t="s">
        <v>15</v>
      </c>
      <c r="H6" s="62" t="s">
        <v>16</v>
      </c>
      <c r="I6" s="62"/>
      <c r="J6" s="62"/>
      <c r="K6" s="62"/>
      <c r="L6" s="47"/>
      <c r="M6" s="55"/>
    </row>
    <row r="7" spans="1:13" ht="18.75" customHeight="1" thickBot="1">
      <c r="A7" s="61"/>
      <c r="B7" s="65" t="s">
        <v>17</v>
      </c>
      <c r="C7" s="74" t="s">
        <v>13</v>
      </c>
      <c r="D7" s="74" t="s">
        <v>158</v>
      </c>
      <c r="E7" s="70"/>
      <c r="F7" s="61"/>
      <c r="G7" s="63" t="s">
        <v>18</v>
      </c>
      <c r="H7" s="62" t="s">
        <v>19</v>
      </c>
      <c r="I7" s="62"/>
      <c r="J7" s="62"/>
      <c r="K7" s="62"/>
      <c r="L7" s="47"/>
      <c r="M7" s="55"/>
    </row>
    <row r="8" spans="1:13" ht="18.75" customHeight="1" thickBot="1">
      <c r="A8" s="61"/>
      <c r="B8" s="67" t="s">
        <v>20</v>
      </c>
      <c r="C8" s="75" t="s">
        <v>21</v>
      </c>
      <c r="D8" s="75"/>
      <c r="E8" s="68"/>
      <c r="F8" s="61"/>
      <c r="G8" s="63" t="s">
        <v>22</v>
      </c>
      <c r="H8" s="62" t="s">
        <v>23</v>
      </c>
      <c r="I8" s="62"/>
      <c r="J8" s="62"/>
      <c r="K8" s="62"/>
      <c r="L8" s="47"/>
      <c r="M8" s="55"/>
    </row>
    <row r="9" spans="1:13" ht="18.75" customHeight="1" thickBot="1">
      <c r="A9" s="61"/>
      <c r="B9" s="67" t="s">
        <v>24</v>
      </c>
      <c r="C9" s="76"/>
      <c r="D9" s="77">
        <v>24</v>
      </c>
      <c r="E9" s="68" t="s">
        <v>25</v>
      </c>
      <c r="F9" s="61"/>
      <c r="G9" s="63" t="s">
        <v>26</v>
      </c>
      <c r="H9" s="62" t="s">
        <v>27</v>
      </c>
      <c r="I9" s="62"/>
      <c r="J9" s="62"/>
      <c r="K9" s="62"/>
      <c r="L9" s="47"/>
      <c r="M9" s="55"/>
    </row>
    <row r="10" spans="1:13" ht="18.75" customHeight="1" thickBot="1">
      <c r="A10" s="61"/>
      <c r="B10" s="67" t="s">
        <v>28</v>
      </c>
      <c r="C10" s="75" t="s">
        <v>29</v>
      </c>
      <c r="D10" s="78">
        <f>ROUND(H68,2)</f>
        <v>401.8</v>
      </c>
      <c r="E10" s="68" t="s">
        <v>30</v>
      </c>
      <c r="F10" s="61"/>
      <c r="G10" s="63" t="s">
        <v>31</v>
      </c>
      <c r="H10" s="62" t="s">
        <v>32</v>
      </c>
      <c r="I10" s="62"/>
      <c r="J10" s="62"/>
      <c r="K10" s="62"/>
      <c r="L10" s="47"/>
      <c r="M10" s="55"/>
    </row>
    <row r="11" spans="1:13" ht="18.75" customHeight="1" thickBot="1">
      <c r="A11" s="61"/>
      <c r="B11" s="69" t="s">
        <v>33</v>
      </c>
      <c r="C11" s="79" t="s">
        <v>34</v>
      </c>
      <c r="D11" s="78">
        <f>ROUND(G67,2)</f>
        <v>2.7</v>
      </c>
      <c r="E11" s="68" t="s">
        <v>35</v>
      </c>
      <c r="F11" s="61"/>
      <c r="G11" s="63" t="s">
        <v>36</v>
      </c>
      <c r="H11" s="62" t="s">
        <v>37</v>
      </c>
      <c r="I11" s="62"/>
      <c r="J11" s="62"/>
      <c r="K11" s="62"/>
      <c r="L11" s="35"/>
      <c r="M11" s="55"/>
    </row>
    <row r="12" spans="1:13" ht="18.75" customHeight="1" thickBot="1">
      <c r="A12" s="61"/>
      <c r="B12" s="67" t="s">
        <v>38</v>
      </c>
      <c r="C12" s="75" t="s">
        <v>29</v>
      </c>
      <c r="D12" s="78">
        <f>ROUND(K68,2)</f>
        <v>1176.03</v>
      </c>
      <c r="E12" s="68" t="s">
        <v>30</v>
      </c>
      <c r="F12" s="61"/>
      <c r="G12" s="63" t="s">
        <v>39</v>
      </c>
      <c r="H12" s="62" t="s">
        <v>40</v>
      </c>
      <c r="I12" s="62"/>
      <c r="J12" s="62"/>
      <c r="K12" s="62"/>
      <c r="L12" s="47"/>
      <c r="M12" s="55"/>
    </row>
    <row r="13" spans="1:13" ht="18.75" customHeight="1" thickBot="1">
      <c r="A13" s="61"/>
      <c r="B13" s="69" t="s">
        <v>41</v>
      </c>
      <c r="C13" s="79" t="s">
        <v>34</v>
      </c>
      <c r="D13" s="78">
        <f>ROUND(J67,2)</f>
        <v>11.6</v>
      </c>
      <c r="E13" s="68" t="s">
        <v>35</v>
      </c>
      <c r="F13" s="61"/>
      <c r="G13" s="63"/>
      <c r="H13" s="62" t="s">
        <v>42</v>
      </c>
      <c r="I13" s="62"/>
      <c r="J13" s="62"/>
      <c r="K13" s="62"/>
      <c r="L13" s="47"/>
      <c r="M13" s="55"/>
    </row>
    <row r="14" spans="1:13" ht="18.75" customHeight="1" thickBot="1">
      <c r="A14" s="61"/>
      <c r="B14" s="61" t="s">
        <v>43</v>
      </c>
      <c r="C14" s="80" t="s">
        <v>44</v>
      </c>
      <c r="D14" s="81">
        <v>22</v>
      </c>
      <c r="E14" s="72" t="s">
        <v>45</v>
      </c>
      <c r="F14" s="61"/>
      <c r="G14" s="63" t="s">
        <v>18</v>
      </c>
      <c r="H14" s="62" t="s">
        <v>46</v>
      </c>
      <c r="I14" s="62"/>
      <c r="J14" s="62"/>
      <c r="K14" s="62"/>
      <c r="L14" s="47"/>
      <c r="M14" s="55"/>
    </row>
    <row r="15" spans="1:13" ht="18.75" customHeight="1" thickTop="1">
      <c r="A15" s="61"/>
      <c r="B15" s="57"/>
      <c r="C15" s="36"/>
      <c r="D15" s="37"/>
      <c r="E15" s="57"/>
      <c r="F15" s="62"/>
      <c r="G15" s="63"/>
      <c r="H15" s="62" t="s">
        <v>47</v>
      </c>
      <c r="I15" s="62"/>
      <c r="J15" s="62"/>
      <c r="K15" s="62"/>
      <c r="L15" s="47"/>
      <c r="M15" s="55"/>
    </row>
    <row r="16" spans="1:13" ht="18.75" customHeight="1" thickBot="1">
      <c r="A16" s="61"/>
      <c r="B16" s="15"/>
      <c r="C16" s="16"/>
      <c r="D16" s="17"/>
      <c r="E16" s="15"/>
      <c r="F16" s="62"/>
      <c r="G16" s="63"/>
      <c r="H16" s="62"/>
      <c r="I16" s="62"/>
      <c r="J16" s="62"/>
      <c r="K16" s="62"/>
      <c r="L16" s="47"/>
      <c r="M16" s="55"/>
    </row>
    <row r="17" spans="1:13" ht="18.75" customHeight="1" thickBot="1" thickTop="1">
      <c r="A17" s="38" t="s">
        <v>48</v>
      </c>
      <c r="B17" s="39" t="s">
        <v>49</v>
      </c>
      <c r="C17" s="8" t="s">
        <v>50</v>
      </c>
      <c r="D17" s="88" t="s">
        <v>51</v>
      </c>
      <c r="E17" s="88" t="s">
        <v>52</v>
      </c>
      <c r="F17" s="88" t="s">
        <v>53</v>
      </c>
      <c r="G17" s="83" t="s">
        <v>54</v>
      </c>
      <c r="H17" s="56"/>
      <c r="I17" s="130" t="s">
        <v>55</v>
      </c>
      <c r="J17" s="130"/>
      <c r="K17" s="130" t="s">
        <v>56</v>
      </c>
      <c r="L17" s="40"/>
      <c r="M17" s="55"/>
    </row>
    <row r="18" spans="1:13" ht="18.75" customHeight="1" thickBot="1">
      <c r="A18" s="93" t="s">
        <v>57</v>
      </c>
      <c r="B18" s="94" t="s">
        <v>58</v>
      </c>
      <c r="C18" s="95">
        <v>300</v>
      </c>
      <c r="D18" s="96">
        <v>400</v>
      </c>
      <c r="E18" s="96">
        <v>450</v>
      </c>
      <c r="F18" s="96">
        <v>500</v>
      </c>
      <c r="G18" s="97">
        <v>600</v>
      </c>
      <c r="H18" s="41" t="s">
        <v>59</v>
      </c>
      <c r="I18" s="119" t="s">
        <v>5</v>
      </c>
      <c r="J18" s="119" t="s">
        <v>60</v>
      </c>
      <c r="K18" s="119" t="s">
        <v>5</v>
      </c>
      <c r="L18" s="120" t="s">
        <v>60</v>
      </c>
      <c r="M18" s="55"/>
    </row>
    <row r="19" spans="1:13" ht="18.75" customHeight="1" thickBot="1">
      <c r="A19" s="93" t="s">
        <v>61</v>
      </c>
      <c r="B19" s="94" t="s">
        <v>62</v>
      </c>
      <c r="C19" s="98">
        <v>450</v>
      </c>
      <c r="D19" s="99">
        <v>550</v>
      </c>
      <c r="E19" s="99">
        <v>600</v>
      </c>
      <c r="F19" s="99">
        <v>650</v>
      </c>
      <c r="G19" s="100">
        <v>750</v>
      </c>
      <c r="H19" s="127" t="s">
        <v>50</v>
      </c>
      <c r="I19" s="131" t="s">
        <v>63</v>
      </c>
      <c r="J19" s="131">
        <v>484</v>
      </c>
      <c r="K19" s="131" t="s">
        <v>64</v>
      </c>
      <c r="L19" s="120">
        <v>462</v>
      </c>
      <c r="M19" s="55"/>
    </row>
    <row r="20" spans="1:13" ht="18.75" customHeight="1">
      <c r="A20" s="101" t="s">
        <v>65</v>
      </c>
      <c r="B20" s="102" t="s">
        <v>66</v>
      </c>
      <c r="C20" s="103">
        <f>IF(C19="","",ROUND((C19/2000)^2*3.14,4))</f>
        <v>0.159</v>
      </c>
      <c r="D20" s="104">
        <f>IF(D19="","",ROUND((D19/2000)^2*3.14,4))</f>
        <v>0.2375</v>
      </c>
      <c r="E20" s="104">
        <f>IF(E19="","",ROUND((E19/2000)^2*3.14,4))</f>
        <v>0.2826</v>
      </c>
      <c r="F20" s="104">
        <f>IF(F19="","",ROUND((F19/2000)^2*3.14,4))</f>
        <v>0.3317</v>
      </c>
      <c r="G20" s="105">
        <f>IF(G19="","",ROUND((G19/2000)^2*3.14,4))</f>
        <v>0.4416</v>
      </c>
      <c r="H20" s="42"/>
      <c r="I20" s="132" t="s">
        <v>67</v>
      </c>
      <c r="J20" s="91">
        <v>500</v>
      </c>
      <c r="K20" s="91" t="s">
        <v>68</v>
      </c>
      <c r="L20" s="85">
        <v>473</v>
      </c>
      <c r="M20" s="55"/>
    </row>
    <row r="21" spans="1:13" ht="18.75" customHeight="1" thickBot="1">
      <c r="A21" s="44" t="s">
        <v>69</v>
      </c>
      <c r="B21" s="45" t="s">
        <v>70</v>
      </c>
      <c r="C21" s="30">
        <f>IF(C19="","",ROUND((C19/1000)*3.14,4))</f>
        <v>1.413</v>
      </c>
      <c r="D21" s="89">
        <f>IF(D19="","",ROUND((D19/1000)*3.14,4))</f>
        <v>1.727</v>
      </c>
      <c r="E21" s="89">
        <f>IF(E19="","",ROUND((E19/1000)*3.14,4))</f>
        <v>1.884</v>
      </c>
      <c r="F21" s="89">
        <f>IF(F19="","",ROUND((F19/1000)*3.14,4))</f>
        <v>2.041</v>
      </c>
      <c r="G21" s="84">
        <f>IF(G19="","",ROUND((G19/1000)*3.14,4))</f>
        <v>2.355</v>
      </c>
      <c r="H21" s="42"/>
      <c r="I21" s="132" t="s">
        <v>71</v>
      </c>
      <c r="J21" s="91">
        <v>520</v>
      </c>
      <c r="K21" s="91" t="s">
        <v>72</v>
      </c>
      <c r="L21" s="85">
        <v>478</v>
      </c>
      <c r="M21" s="55"/>
    </row>
    <row r="22" spans="1:13" ht="18.75" customHeight="1" thickBot="1">
      <c r="A22" s="101" t="s">
        <v>73</v>
      </c>
      <c r="B22" s="106"/>
      <c r="C22" s="107">
        <v>1</v>
      </c>
      <c r="D22" s="108">
        <v>1</v>
      </c>
      <c r="E22" s="108">
        <v>1</v>
      </c>
      <c r="F22" s="108">
        <v>1</v>
      </c>
      <c r="G22" s="109">
        <v>1</v>
      </c>
      <c r="H22" s="31"/>
      <c r="I22" s="132" t="s">
        <v>74</v>
      </c>
      <c r="J22" s="133">
        <v>545</v>
      </c>
      <c r="K22" s="133"/>
      <c r="L22" s="129"/>
      <c r="M22" s="55"/>
    </row>
    <row r="23" spans="1:13" ht="18.75" customHeight="1">
      <c r="A23" s="61"/>
      <c r="B23" s="62"/>
      <c r="C23" s="64" t="str">
        <f>IF(C22="","",IF(C22=1,"摩擦杭",""))</f>
        <v>摩擦杭</v>
      </c>
      <c r="D23" s="90" t="str">
        <f>IF(D22="","",IF(D22=1,"摩擦杭",""))</f>
        <v>摩擦杭</v>
      </c>
      <c r="E23" s="90" t="str">
        <f>IF(E22="","",IF(E22=1,"摩擦杭",""))</f>
        <v>摩擦杭</v>
      </c>
      <c r="F23" s="90" t="str">
        <f>IF(F22="","",IF(F22=1,"摩擦杭",""))</f>
        <v>摩擦杭</v>
      </c>
      <c r="G23" s="85" t="str">
        <f>IF(G22="","",IF(G22=1,"摩擦杭",""))</f>
        <v>摩擦杭</v>
      </c>
      <c r="H23" s="103" t="s">
        <v>51</v>
      </c>
      <c r="I23" s="131" t="s">
        <v>63</v>
      </c>
      <c r="J23" s="104">
        <v>722</v>
      </c>
      <c r="K23" s="104" t="s">
        <v>75</v>
      </c>
      <c r="L23" s="105">
        <v>700</v>
      </c>
      <c r="M23" s="55"/>
    </row>
    <row r="24" spans="1:13" ht="18.75" customHeight="1" thickBot="1">
      <c r="A24" s="44" t="s">
        <v>76</v>
      </c>
      <c r="B24" s="45" t="s">
        <v>77</v>
      </c>
      <c r="C24" s="43">
        <f>IF($D$9&gt;=5,150,0)</f>
        <v>150</v>
      </c>
      <c r="D24" s="91">
        <f>IF($D$9&gt;=5,150,0)</f>
        <v>150</v>
      </c>
      <c r="E24" s="91">
        <f>IF($D$9&gt;=5,150,0)</f>
        <v>150</v>
      </c>
      <c r="F24" s="91">
        <f>IF($D$9&gt;=5,150,0)</f>
        <v>150</v>
      </c>
      <c r="G24" s="86">
        <f>IF($D$9&gt;=5,150,0)</f>
        <v>150</v>
      </c>
      <c r="H24" s="42"/>
      <c r="I24" s="132" t="s">
        <v>67</v>
      </c>
      <c r="J24" s="91">
        <v>738</v>
      </c>
      <c r="K24" s="91" t="s">
        <v>78</v>
      </c>
      <c r="L24" s="86">
        <v>715</v>
      </c>
      <c r="M24" s="55"/>
    </row>
    <row r="25" spans="1:13" ht="18.75" customHeight="1">
      <c r="A25" s="101" t="s">
        <v>79</v>
      </c>
      <c r="B25" s="102" t="s">
        <v>80</v>
      </c>
      <c r="C25" s="110">
        <f>IF(C24="","",ROUND(C24*$D$9*C20/3,1))</f>
        <v>190.8</v>
      </c>
      <c r="D25" s="111">
        <f>IF(D24="","",ROUND(D24*$D$9*D20/3,1))</f>
        <v>285</v>
      </c>
      <c r="E25" s="111">
        <f>IF(E24="","",ROUND(E24*$D$9*E20/3,1))</f>
        <v>339.1</v>
      </c>
      <c r="F25" s="111">
        <f>IF(F24="","",ROUND(F24*$D$9*F20/3,1))</f>
        <v>398</v>
      </c>
      <c r="G25" s="112">
        <f>IF(G24="","",ROUND(G24*$D$9*G20/3,1))</f>
        <v>529.9</v>
      </c>
      <c r="H25" s="42"/>
      <c r="I25" s="132" t="s">
        <v>71</v>
      </c>
      <c r="J25" s="91">
        <v>758</v>
      </c>
      <c r="K25" s="91" t="s">
        <v>81</v>
      </c>
      <c r="L25" s="86">
        <v>722</v>
      </c>
      <c r="M25" s="55"/>
    </row>
    <row r="26" spans="1:13" ht="18.75" customHeight="1">
      <c r="A26" s="44" t="s">
        <v>82</v>
      </c>
      <c r="B26" s="45" t="s">
        <v>83</v>
      </c>
      <c r="C26" s="33">
        <f>IF($D$10="","",ROUND($D$10*C21/3,1))</f>
        <v>189.2</v>
      </c>
      <c r="D26" s="92">
        <f>IF($D$10="","",ROUND($D$10*D21/3,1))</f>
        <v>231.3</v>
      </c>
      <c r="E26" s="92">
        <f>IF($D$10="","",ROUND($D$10*E21/3,1))</f>
        <v>252.3</v>
      </c>
      <c r="F26" s="92">
        <f>IF($D$10="","",ROUND($D$10*F21/3,1))</f>
        <v>273.4</v>
      </c>
      <c r="G26" s="87">
        <f>IF($D$10="","",ROUND($D$10*G21/3,1))</f>
        <v>315.4</v>
      </c>
      <c r="H26" s="34"/>
      <c r="I26" s="132" t="s">
        <v>74</v>
      </c>
      <c r="J26" s="134">
        <v>783</v>
      </c>
      <c r="K26" s="135"/>
      <c r="L26" s="129"/>
      <c r="M26" s="55"/>
    </row>
    <row r="27" spans="1:13" ht="18.75" customHeight="1" thickBot="1">
      <c r="A27" s="44" t="s">
        <v>84</v>
      </c>
      <c r="B27" s="45" t="s">
        <v>85</v>
      </c>
      <c r="C27" s="33">
        <f>IF($D$12="","",ROUND($D$12*C21/3,1))</f>
        <v>553.9</v>
      </c>
      <c r="D27" s="92">
        <f>IF($D$12="","",ROUND($D$12*D21/3,1))</f>
        <v>677</v>
      </c>
      <c r="E27" s="92">
        <f>IF($D$12="","",ROUND($D$12*E21/3,1))</f>
        <v>738.5</v>
      </c>
      <c r="F27" s="92">
        <f>IF($D$12="","",ROUND($D$12*F21/3,1))</f>
        <v>800.1</v>
      </c>
      <c r="G27" s="87">
        <f>IF($D$12="","",ROUND($D$12*G21/3,1))</f>
        <v>923.2</v>
      </c>
      <c r="H27" s="42"/>
      <c r="I27" s="132" t="s">
        <v>86</v>
      </c>
      <c r="J27" s="91">
        <v>812</v>
      </c>
      <c r="K27" s="91"/>
      <c r="L27" s="129"/>
      <c r="M27" s="55"/>
    </row>
    <row r="28" spans="1:13" ht="18.75" customHeight="1" thickBot="1">
      <c r="A28" s="113" t="s">
        <v>87</v>
      </c>
      <c r="B28" s="114" t="s">
        <v>88</v>
      </c>
      <c r="C28" s="115">
        <f>IF(C25="","",ROUND(C25+C26+C27,1))</f>
        <v>933.9</v>
      </c>
      <c r="D28" s="116">
        <f>IF(D25="","",ROUND(D25+D26+D27,1))</f>
        <v>1193.3</v>
      </c>
      <c r="E28" s="116">
        <f>IF(E25="","",ROUND(E25+E26+E27,1))</f>
        <v>1329.9</v>
      </c>
      <c r="F28" s="116">
        <f>IF(F25="","",ROUND(F25+F26+F27,1))</f>
        <v>1471.5</v>
      </c>
      <c r="G28" s="117">
        <f>IF(G25="","",ROUND(G25+G26+G27,1))</f>
        <v>1768.5</v>
      </c>
      <c r="H28" s="103" t="s">
        <v>52</v>
      </c>
      <c r="I28" s="131" t="s">
        <v>63</v>
      </c>
      <c r="J28" s="136">
        <v>880</v>
      </c>
      <c r="K28" s="137" t="s">
        <v>89</v>
      </c>
      <c r="L28" s="120">
        <v>854</v>
      </c>
      <c r="M28" s="55"/>
    </row>
    <row r="29" spans="1:13" ht="18.75" customHeight="1" thickBot="1">
      <c r="A29" s="101" t="s">
        <v>90</v>
      </c>
      <c r="B29" s="106"/>
      <c r="C29" s="107">
        <v>462</v>
      </c>
      <c r="D29" s="108">
        <v>700</v>
      </c>
      <c r="E29" s="108">
        <v>864</v>
      </c>
      <c r="F29" s="108">
        <v>1079</v>
      </c>
      <c r="G29" s="109">
        <v>1473</v>
      </c>
      <c r="H29" s="31"/>
      <c r="I29" s="132" t="s">
        <v>67</v>
      </c>
      <c r="J29" s="133">
        <v>899</v>
      </c>
      <c r="K29" s="133" t="s">
        <v>91</v>
      </c>
      <c r="L29" s="85">
        <v>872</v>
      </c>
      <c r="M29" s="55"/>
    </row>
    <row r="30" spans="1:13" ht="18.75" customHeight="1">
      <c r="A30" s="101" t="s">
        <v>92</v>
      </c>
      <c r="B30" s="102" t="s">
        <v>93</v>
      </c>
      <c r="C30" s="110">
        <f>IF($E$6="","チェック",IF($E$6="Ｃ種",ROUND((24-10)*C29*10^-1,1),IF($E$6="Ｂ種",ROUND((24-8)*C29*10^-1,1),IF($E$6="A種",ROUND((20-4)*C29*10^-1,1),"再入力"))))</f>
        <v>739.2</v>
      </c>
      <c r="D30" s="111">
        <f>IF($E$6="","チェック",IF($E$6="Ｃ種",ROUND((24-10)*D29*10^-1,1),IF($E$6="Ｂ種",ROUND((24-8)*D29*10^-1,1),IF($E$6="A種",ROUND((20-4)*D29*10^-1,1),"再入力"))))</f>
        <v>1120</v>
      </c>
      <c r="E30" s="111">
        <f>IF($E$6="","チェック",IF($E$6="Ｃ種",ROUND((24-10)*E29*10^-1,1),IF($E$6="Ｂ種",ROUND((24-8)*E29*10^-1,1),IF($E$6="A種",ROUND((20-4)*E29*10^-1,1),"再入力"))))</f>
        <v>1382.4</v>
      </c>
      <c r="F30" s="111">
        <f>IF($E$6="","チェック",IF($E$6="Ｃ種",ROUND((24-10)*F29*10^-1,1),IF($E$6="Ｂ種",ROUND((24-8)*F29*10^-1,1),IF($E$6="A種",ROUND((20-4)*F29*10^-1,1),"再入力"))))</f>
        <v>1726.4</v>
      </c>
      <c r="G30" s="112">
        <f>IF($E$6="","チェック",IF($E$6="Ｃ種",ROUND((24-10)*G29*10^-1,1),IF($E$6="Ｂ種",ROUND((24-8)*G29*10^-1,1),IF($E$6="A種",ROUND((20-4)*G29*10^-1,1),"再入力"))))</f>
        <v>2356.8</v>
      </c>
      <c r="H30" s="42"/>
      <c r="I30" s="132" t="s">
        <v>71</v>
      </c>
      <c r="J30" s="91">
        <v>922</v>
      </c>
      <c r="K30" s="91" t="s">
        <v>94</v>
      </c>
      <c r="L30" s="85">
        <v>880</v>
      </c>
      <c r="M30" s="55"/>
    </row>
    <row r="31" spans="1:13" ht="18.75" customHeight="1">
      <c r="A31" s="44" t="s">
        <v>95</v>
      </c>
      <c r="B31" s="45" t="s">
        <v>96</v>
      </c>
      <c r="C31" s="64">
        <f>IF($D$14/(C19*10^-3)&lt;85,0,ROUND((($D$14/(C19*10^-3))-85)/100,3))</f>
        <v>0</v>
      </c>
      <c r="D31" s="90">
        <f>IF($D$14/(D19*10^-3)&lt;85,0,ROUND((($D$14/(D19*10^-3))-85)/100,3))</f>
        <v>0</v>
      </c>
      <c r="E31" s="90">
        <f>IF($D$14/(E19*10^-3)&lt;85,0,ROUND((($D$14/(E19*10^-3))-85)/100,3))</f>
        <v>0</v>
      </c>
      <c r="F31" s="90">
        <f>IF($D$14/(F19*10^-3)&lt;85,0,ROUND((($D$14/(F19*10^-3))-85)/100,3))</f>
        <v>0</v>
      </c>
      <c r="G31" s="85">
        <f>IF($D$14/(G19*10^-3)&lt;85,0,ROUND((($D$14/(G19*10^-3))-85)/100,3))</f>
        <v>0</v>
      </c>
      <c r="H31" s="42"/>
      <c r="I31" s="132" t="s">
        <v>74</v>
      </c>
      <c r="J31" s="91">
        <v>951</v>
      </c>
      <c r="K31" s="138"/>
      <c r="L31" s="85"/>
      <c r="M31" s="55"/>
    </row>
    <row r="32" spans="1:13" ht="18.75" customHeight="1" thickBot="1">
      <c r="A32" s="44" t="s">
        <v>97</v>
      </c>
      <c r="B32" s="45" t="s">
        <v>98</v>
      </c>
      <c r="C32" s="64" t="str">
        <f>IF((D14/(C19*10^-3))&gt;110,"不可","OK")</f>
        <v>OK</v>
      </c>
      <c r="D32" s="90" t="str">
        <f>IF((D14/(D19*10^-3))&gt;110,"不可","OK")</f>
        <v>OK</v>
      </c>
      <c r="E32" s="90" t="str">
        <f>IF((D14/(E19*10^-3))&gt;110,"不可","OK")</f>
        <v>OK</v>
      </c>
      <c r="F32" s="90" t="str">
        <f>IF((D14/(F19*10^-3))&gt;110,"不可","OK")</f>
        <v>OK</v>
      </c>
      <c r="G32" s="85" t="str">
        <f>IF((D14/(G19*10^-3))&gt;110,"不可","OK")</f>
        <v>OK</v>
      </c>
      <c r="H32" s="42"/>
      <c r="I32" s="132" t="s">
        <v>86</v>
      </c>
      <c r="J32" s="91">
        <v>985</v>
      </c>
      <c r="K32" s="133"/>
      <c r="L32" s="85"/>
      <c r="M32" s="55"/>
    </row>
    <row r="33" spans="1:13" ht="18.75" customHeight="1" thickBot="1">
      <c r="A33" s="101" t="s">
        <v>99</v>
      </c>
      <c r="B33" s="106"/>
      <c r="C33" s="107"/>
      <c r="D33" s="108"/>
      <c r="E33" s="108"/>
      <c r="F33" s="108"/>
      <c r="G33" s="109"/>
      <c r="H33" s="31"/>
      <c r="I33" s="132" t="s">
        <v>100</v>
      </c>
      <c r="J33" s="133">
        <v>1024</v>
      </c>
      <c r="K33" s="91"/>
      <c r="L33" s="85"/>
      <c r="M33" s="55"/>
    </row>
    <row r="34" spans="1:13" ht="18.75" customHeight="1" thickBot="1">
      <c r="A34" s="101" t="s">
        <v>101</v>
      </c>
      <c r="B34" s="102" t="s">
        <v>102</v>
      </c>
      <c r="C34" s="118">
        <f>IF(C33="",0,ROUND(C33*0.05,2))</f>
        <v>0</v>
      </c>
      <c r="D34" s="119">
        <f>IF(D33="",0,ROUND(D33*0.05,2))</f>
        <v>0</v>
      </c>
      <c r="E34" s="119">
        <f>IF(E33="",0,ROUND(E33*0.05,2))</f>
        <v>0</v>
      </c>
      <c r="F34" s="119">
        <f>IF(F33="",0,ROUND(F33*0.05,2))</f>
        <v>0</v>
      </c>
      <c r="G34" s="120">
        <f>IF(G33="",0,ROUND(G33*0.05,2))</f>
        <v>0</v>
      </c>
      <c r="H34" s="103" t="s">
        <v>53</v>
      </c>
      <c r="I34" s="131" t="s">
        <v>63</v>
      </c>
      <c r="J34" s="104">
        <v>1113</v>
      </c>
      <c r="K34" s="137" t="s">
        <v>103</v>
      </c>
      <c r="L34" s="120">
        <v>1079</v>
      </c>
      <c r="M34" s="55"/>
    </row>
    <row r="35" spans="1:13" ht="18.75" customHeight="1">
      <c r="A35" s="101" t="s">
        <v>104</v>
      </c>
      <c r="B35" s="102" t="s">
        <v>105</v>
      </c>
      <c r="C35" s="118">
        <f>TRUNC(C28)</f>
        <v>933</v>
      </c>
      <c r="D35" s="119">
        <f>TRUNC(D28)</f>
        <v>1193</v>
      </c>
      <c r="E35" s="119">
        <f>TRUNC(E28)</f>
        <v>1329</v>
      </c>
      <c r="F35" s="119">
        <f>TRUNC(F28)</f>
        <v>1471</v>
      </c>
      <c r="G35" s="120">
        <f>TRUNC(G28)</f>
        <v>1768</v>
      </c>
      <c r="H35" s="42"/>
      <c r="I35" s="132" t="s">
        <v>67</v>
      </c>
      <c r="J35" s="91">
        <v>1136</v>
      </c>
      <c r="K35" s="133" t="s">
        <v>106</v>
      </c>
      <c r="L35" s="85">
        <v>1102</v>
      </c>
      <c r="M35" s="55"/>
    </row>
    <row r="36" spans="1:13" ht="18.75" customHeight="1" thickBot="1">
      <c r="A36" s="44" t="s">
        <v>107</v>
      </c>
      <c r="B36" s="45" t="s">
        <v>108</v>
      </c>
      <c r="C36" s="64">
        <f>TRUNC(ROUND(C30*(1-C31-C34),0),-1)</f>
        <v>730</v>
      </c>
      <c r="D36" s="90">
        <f>TRUNC(ROUND(D30*(1-D31-D34),0),-1)</f>
        <v>1120</v>
      </c>
      <c r="E36" s="90">
        <f>TRUNC(ROUND(E30*(1-E31-E34),0),-1)</f>
        <v>1380</v>
      </c>
      <c r="F36" s="90">
        <f>TRUNC(ROUND(F30*(1-F31-F34),0),-1)</f>
        <v>1720</v>
      </c>
      <c r="G36" s="85">
        <f>TRUNC(ROUND(G30*(1-G31-G34),0),-1)</f>
        <v>2350</v>
      </c>
      <c r="H36" s="31"/>
      <c r="I36" s="132" t="s">
        <v>71</v>
      </c>
      <c r="J36" s="133">
        <v>1167</v>
      </c>
      <c r="K36" s="91" t="s">
        <v>109</v>
      </c>
      <c r="L36" s="85">
        <v>1112</v>
      </c>
      <c r="M36" s="55"/>
    </row>
    <row r="37" spans="1:13" ht="18.75" customHeight="1" thickBot="1">
      <c r="A37" s="121" t="s">
        <v>110</v>
      </c>
      <c r="B37" s="122"/>
      <c r="C37" s="123">
        <f>FLOOR(MIN(C35,C36),100)</f>
        <v>700</v>
      </c>
      <c r="D37" s="124">
        <f>FLOOR(MIN(D35,D36),100)</f>
        <v>1100</v>
      </c>
      <c r="E37" s="124">
        <f>FLOOR(MIN(E35,E36),100)</f>
        <v>1300</v>
      </c>
      <c r="F37" s="124">
        <f>FLOOR(MIN(F35,F36),100)</f>
        <v>1400</v>
      </c>
      <c r="G37" s="125">
        <f>FLOOR(MIN(G35,G36),100)</f>
        <v>1700</v>
      </c>
      <c r="H37" s="31"/>
      <c r="I37" s="132" t="s">
        <v>74</v>
      </c>
      <c r="J37" s="91">
        <v>1204</v>
      </c>
      <c r="K37" s="91"/>
      <c r="L37" s="129"/>
      <c r="M37" s="55"/>
    </row>
    <row r="38" spans="1:13" ht="18.75" customHeight="1" thickBot="1">
      <c r="A38" s="121" t="s">
        <v>111</v>
      </c>
      <c r="B38" s="122"/>
      <c r="C38" s="123" t="str">
        <f>IF($D$14*1000/C19&gt;=10,"長杭○","短杭×")</f>
        <v>長杭○</v>
      </c>
      <c r="D38" s="126" t="str">
        <f>IF($D$14*1000/D19&gt;=10,"長杭○","短杭×")</f>
        <v>長杭○</v>
      </c>
      <c r="E38" s="126" t="str">
        <f>IF($D$14*1000/E19&gt;=10,"長杭○","短杭×")</f>
        <v>長杭○</v>
      </c>
      <c r="F38" s="126" t="str">
        <f>IF($D$14*1000/F19&gt;=10,"長杭○","短杭×")</f>
        <v>長杭○</v>
      </c>
      <c r="G38" s="125" t="str">
        <f>IF($D$14*1000/G19&gt;=10,"長杭○","短杭×")</f>
        <v>長杭○</v>
      </c>
      <c r="H38" s="42"/>
      <c r="I38" s="132" t="s">
        <v>86</v>
      </c>
      <c r="J38" s="91">
        <v>1247</v>
      </c>
      <c r="K38" s="91"/>
      <c r="L38" s="129"/>
      <c r="M38" s="55"/>
    </row>
    <row r="39" spans="1:13" ht="18.75" customHeight="1" thickBot="1" thickTop="1">
      <c r="A39" s="56"/>
      <c r="B39" s="57"/>
      <c r="C39" s="57"/>
      <c r="D39" s="57"/>
      <c r="E39" s="57"/>
      <c r="F39" s="57"/>
      <c r="G39" s="57"/>
      <c r="H39" s="42"/>
      <c r="I39" s="132" t="s">
        <v>100</v>
      </c>
      <c r="J39" s="91">
        <v>1298</v>
      </c>
      <c r="K39" s="91"/>
      <c r="L39" s="129"/>
      <c r="M39" s="55"/>
    </row>
    <row r="40" spans="1:13" ht="18.75" customHeight="1">
      <c r="A40" s="61" t="s">
        <v>112</v>
      </c>
      <c r="B40" s="62"/>
      <c r="C40" s="62"/>
      <c r="D40" s="62"/>
      <c r="E40" s="62"/>
      <c r="F40" s="62"/>
      <c r="G40" s="62"/>
      <c r="H40" s="128" t="s">
        <v>54</v>
      </c>
      <c r="I40" s="131" t="s">
        <v>63</v>
      </c>
      <c r="J40" s="104">
        <v>1519</v>
      </c>
      <c r="K40" s="104" t="s">
        <v>113</v>
      </c>
      <c r="L40" s="120">
        <v>1473</v>
      </c>
      <c r="M40" s="55"/>
    </row>
    <row r="41" spans="1:13" ht="18.75" customHeight="1">
      <c r="A41" s="61" t="s">
        <v>114</v>
      </c>
      <c r="B41" s="62"/>
      <c r="C41" s="62"/>
      <c r="D41" s="62"/>
      <c r="E41" s="62"/>
      <c r="F41" s="62"/>
      <c r="G41" s="62"/>
      <c r="H41" s="61"/>
      <c r="I41" s="132" t="s">
        <v>67</v>
      </c>
      <c r="J41" s="91">
        <v>1550</v>
      </c>
      <c r="K41" s="91" t="s">
        <v>115</v>
      </c>
      <c r="L41" s="85">
        <v>1503</v>
      </c>
      <c r="M41" s="55"/>
    </row>
    <row r="42" spans="1:13" ht="18.75" customHeight="1">
      <c r="A42" s="61"/>
      <c r="B42" s="62"/>
      <c r="C42" s="62"/>
      <c r="D42" s="62"/>
      <c r="E42" s="62"/>
      <c r="F42" s="62"/>
      <c r="G42" s="62"/>
      <c r="H42" s="61"/>
      <c r="I42" s="132" t="s">
        <v>71</v>
      </c>
      <c r="J42" s="91">
        <v>1591</v>
      </c>
      <c r="K42" s="91" t="s">
        <v>116</v>
      </c>
      <c r="L42" s="85">
        <v>1517</v>
      </c>
      <c r="M42" s="55"/>
    </row>
    <row r="43" spans="1:13" ht="18.75" customHeight="1">
      <c r="A43" s="61"/>
      <c r="B43" s="62"/>
      <c r="C43" s="62"/>
      <c r="D43" s="62"/>
      <c r="E43" s="62"/>
      <c r="F43" s="62"/>
      <c r="G43" s="62"/>
      <c r="H43" s="61"/>
      <c r="I43" s="132" t="s">
        <v>74</v>
      </c>
      <c r="J43" s="91">
        <v>1640</v>
      </c>
      <c r="K43" s="139"/>
      <c r="L43" s="85"/>
      <c r="M43" s="55"/>
    </row>
    <row r="44" spans="1:13" ht="18.75" customHeight="1">
      <c r="A44" s="61"/>
      <c r="B44" s="62"/>
      <c r="C44" s="62"/>
      <c r="D44" s="62"/>
      <c r="E44" s="62"/>
      <c r="F44" s="62"/>
      <c r="G44" s="62"/>
      <c r="H44" s="61"/>
      <c r="I44" s="132" t="s">
        <v>86</v>
      </c>
      <c r="J44" s="91">
        <v>1697</v>
      </c>
      <c r="K44" s="139"/>
      <c r="L44" s="85"/>
      <c r="M44" s="55"/>
    </row>
    <row r="45" spans="1:13" ht="18.75" customHeight="1" thickBot="1">
      <c r="A45" s="61"/>
      <c r="B45" s="62"/>
      <c r="C45" s="62"/>
      <c r="D45" s="62"/>
      <c r="E45" s="62"/>
      <c r="F45" s="62"/>
      <c r="G45" s="62"/>
      <c r="H45" s="61"/>
      <c r="I45" s="140" t="s">
        <v>100</v>
      </c>
      <c r="J45" s="141">
        <v>1765</v>
      </c>
      <c r="K45" s="142"/>
      <c r="L45" s="85"/>
      <c r="M45" s="55"/>
    </row>
    <row r="46" spans="1:13" ht="18.75" customHeight="1" thickBot="1" thickTop="1">
      <c r="A46" s="57"/>
      <c r="B46" s="57"/>
      <c r="C46" s="57"/>
      <c r="D46" s="57"/>
      <c r="E46" s="57"/>
      <c r="F46" s="57"/>
      <c r="G46" s="57"/>
      <c r="H46" s="57"/>
      <c r="I46" s="57"/>
      <c r="J46" s="57"/>
      <c r="K46" s="57"/>
      <c r="L46" s="58"/>
      <c r="M46" s="47"/>
    </row>
    <row r="47" spans="1:13" ht="18.75" customHeight="1">
      <c r="A47" s="56"/>
      <c r="B47" s="56" t="s">
        <v>117</v>
      </c>
      <c r="C47" s="57"/>
      <c r="D47" s="57"/>
      <c r="E47" s="57"/>
      <c r="F47" s="57"/>
      <c r="G47" s="57"/>
      <c r="H47" s="8">
        <v>1</v>
      </c>
      <c r="I47" s="18" t="str">
        <f>IF(H47=1,"検討する","しない")</f>
        <v>検討する</v>
      </c>
      <c r="J47" s="61"/>
      <c r="K47" s="47"/>
      <c r="L47" s="47"/>
      <c r="M47" s="47"/>
    </row>
    <row r="48" spans="1:13" ht="18.75" customHeight="1">
      <c r="A48" s="61"/>
      <c r="B48" s="56" t="s">
        <v>118</v>
      </c>
      <c r="C48" s="57" t="s">
        <v>119</v>
      </c>
      <c r="D48" s="57"/>
      <c r="E48" s="57"/>
      <c r="F48" s="57"/>
      <c r="G48" s="57"/>
      <c r="H48" s="57"/>
      <c r="I48" s="57"/>
      <c r="J48" s="57"/>
      <c r="K48" s="58"/>
      <c r="L48" s="55"/>
      <c r="M48" s="47"/>
    </row>
    <row r="49" spans="1:13" ht="18.75" customHeight="1">
      <c r="A49" s="61"/>
      <c r="B49" s="61"/>
      <c r="C49" s="19" t="s">
        <v>120</v>
      </c>
      <c r="D49" s="19"/>
      <c r="E49" s="19"/>
      <c r="F49" s="19"/>
      <c r="G49" s="19"/>
      <c r="H49" s="19"/>
      <c r="I49" s="19"/>
      <c r="J49" s="19"/>
      <c r="K49" s="47"/>
      <c r="L49" s="55"/>
      <c r="M49" s="47"/>
    </row>
    <row r="50" spans="1:13" ht="18.75" customHeight="1">
      <c r="A50" s="61"/>
      <c r="B50" s="59" t="s">
        <v>121</v>
      </c>
      <c r="C50" s="20"/>
      <c r="D50" s="56" t="s">
        <v>122</v>
      </c>
      <c r="E50" s="57"/>
      <c r="F50" s="60" t="s">
        <v>123</v>
      </c>
      <c r="G50" s="21" t="s">
        <v>124</v>
      </c>
      <c r="H50" s="21" t="s">
        <v>125</v>
      </c>
      <c r="I50" s="60" t="s">
        <v>126</v>
      </c>
      <c r="J50" s="21" t="s">
        <v>127</v>
      </c>
      <c r="K50" s="21" t="s">
        <v>128</v>
      </c>
      <c r="L50" s="55"/>
      <c r="M50" s="47"/>
    </row>
    <row r="51" spans="1:13" ht="18.75" customHeight="1">
      <c r="A51" s="61" t="s">
        <v>129</v>
      </c>
      <c r="B51" s="64" t="s">
        <v>130</v>
      </c>
      <c r="C51" s="22" t="s">
        <v>131</v>
      </c>
      <c r="D51" s="64" t="s">
        <v>34</v>
      </c>
      <c r="E51" s="22" t="s">
        <v>34</v>
      </c>
      <c r="F51" s="44"/>
      <c r="G51" s="22" t="s">
        <v>34</v>
      </c>
      <c r="H51" s="22"/>
      <c r="I51" s="64"/>
      <c r="J51" s="22" t="s">
        <v>34</v>
      </c>
      <c r="K51" s="23"/>
      <c r="L51" s="55"/>
      <c r="M51" s="47"/>
    </row>
    <row r="52" spans="1:13" ht="18.75" customHeight="1">
      <c r="A52" s="61"/>
      <c r="B52" s="60" t="s">
        <v>132</v>
      </c>
      <c r="C52" s="60" t="s">
        <v>133</v>
      </c>
      <c r="D52" s="9">
        <v>0</v>
      </c>
      <c r="E52" s="10">
        <v>9</v>
      </c>
      <c r="F52" s="9"/>
      <c r="G52" s="24">
        <f aca="true" t="shared" si="0" ref="G52:G66">IF(F52="","",ROUND(E52-D52,2))</f>
      </c>
      <c r="H52" s="25">
        <f aca="true" t="shared" si="1" ref="H52:H66">IF(F52="","",IF(ROUND((4*F52+34),2)&lt;=150,ROUND((4*F52+34)*G52,2),ROUND(150*G52,2)))</f>
      </c>
      <c r="I52" s="11"/>
      <c r="J52" s="24">
        <f aca="true" t="shared" si="2" ref="J52:J66">IF(I52="","",ROUND(E52-D52,2))</f>
      </c>
      <c r="K52" s="25">
        <f aca="true" t="shared" si="3" ref="K52:K66">IF(I52="","",IF(ROUND((7*I52+20),2)&lt;=150,ROUND((7*I52+20)*J52,2),ROUND(150*J52,2)))</f>
      </c>
      <c r="L52" s="55"/>
      <c r="M52" s="47"/>
    </row>
    <row r="53" spans="1:13" ht="18.75" customHeight="1">
      <c r="A53" s="61"/>
      <c r="B53" s="64" t="s">
        <v>132</v>
      </c>
      <c r="C53" s="64" t="s">
        <v>134</v>
      </c>
      <c r="D53" s="12">
        <v>9</v>
      </c>
      <c r="E53" s="13">
        <v>9.8</v>
      </c>
      <c r="F53" s="12"/>
      <c r="G53" s="26">
        <f t="shared" si="0"/>
      </c>
      <c r="H53" s="27">
        <f t="shared" si="1"/>
      </c>
      <c r="I53" s="14">
        <v>4.7</v>
      </c>
      <c r="J53" s="26">
        <f t="shared" si="2"/>
        <v>0.8</v>
      </c>
      <c r="K53" s="27">
        <f t="shared" si="3"/>
        <v>42.32</v>
      </c>
      <c r="L53" s="55"/>
      <c r="M53" s="47"/>
    </row>
    <row r="54" spans="1:13" ht="18.75" customHeight="1">
      <c r="A54" s="61"/>
      <c r="B54" s="64" t="s">
        <v>135</v>
      </c>
      <c r="C54" s="64" t="s">
        <v>136</v>
      </c>
      <c r="D54" s="12">
        <v>9.8</v>
      </c>
      <c r="E54" s="13">
        <v>10.7</v>
      </c>
      <c r="F54" s="12">
        <v>60</v>
      </c>
      <c r="G54" s="26">
        <f t="shared" si="0"/>
        <v>0.9</v>
      </c>
      <c r="H54" s="27">
        <f t="shared" si="1"/>
        <v>135</v>
      </c>
      <c r="I54" s="14"/>
      <c r="J54" s="26">
        <f t="shared" si="2"/>
      </c>
      <c r="K54" s="27">
        <f t="shared" si="3"/>
      </c>
      <c r="L54" s="55"/>
      <c r="M54" s="47"/>
    </row>
    <row r="55" spans="1:13" ht="18.75" customHeight="1">
      <c r="A55" s="61"/>
      <c r="B55" s="64" t="s">
        <v>137</v>
      </c>
      <c r="C55" s="64" t="s">
        <v>138</v>
      </c>
      <c r="D55" s="12">
        <v>10.7</v>
      </c>
      <c r="E55" s="13">
        <v>15.3</v>
      </c>
      <c r="F55" s="12"/>
      <c r="G55" s="26">
        <f t="shared" si="0"/>
      </c>
      <c r="H55" s="27">
        <f t="shared" si="1"/>
      </c>
      <c r="I55" s="14">
        <v>7.5</v>
      </c>
      <c r="J55" s="26">
        <f t="shared" si="2"/>
        <v>4.6</v>
      </c>
      <c r="K55" s="27">
        <f t="shared" si="3"/>
        <v>333.5</v>
      </c>
      <c r="L55" s="55"/>
      <c r="M55" s="47"/>
    </row>
    <row r="56" spans="1:13" ht="18.75" customHeight="1">
      <c r="A56" s="61"/>
      <c r="B56" s="64" t="s">
        <v>137</v>
      </c>
      <c r="C56" s="64" t="s">
        <v>139</v>
      </c>
      <c r="D56" s="12">
        <v>15.3</v>
      </c>
      <c r="E56" s="13">
        <v>16.2</v>
      </c>
      <c r="F56" s="12"/>
      <c r="G56" s="26">
        <f t="shared" si="0"/>
      </c>
      <c r="H56" s="27">
        <f t="shared" si="1"/>
      </c>
      <c r="I56" s="14">
        <v>7.5</v>
      </c>
      <c r="J56" s="26">
        <f t="shared" si="2"/>
        <v>0.9</v>
      </c>
      <c r="K56" s="27">
        <f t="shared" si="3"/>
        <v>65.25</v>
      </c>
      <c r="L56" s="55"/>
      <c r="M56" s="47"/>
    </row>
    <row r="57" spans="1:13" ht="18.75" customHeight="1">
      <c r="A57" s="61"/>
      <c r="B57" s="64" t="s">
        <v>140</v>
      </c>
      <c r="C57" s="64" t="s">
        <v>141</v>
      </c>
      <c r="D57" s="12">
        <v>16.2</v>
      </c>
      <c r="E57" s="13">
        <v>17</v>
      </c>
      <c r="F57" s="12">
        <v>28</v>
      </c>
      <c r="G57" s="26">
        <f t="shared" si="0"/>
        <v>0.8</v>
      </c>
      <c r="H57" s="27">
        <f t="shared" si="1"/>
        <v>116.8</v>
      </c>
      <c r="I57" s="14"/>
      <c r="J57" s="26">
        <f t="shared" si="2"/>
      </c>
      <c r="K57" s="27">
        <f t="shared" si="3"/>
      </c>
      <c r="L57" s="55"/>
      <c r="M57" s="47"/>
    </row>
    <row r="58" spans="1:13" ht="18.75" customHeight="1">
      <c r="A58" s="61"/>
      <c r="B58" s="64" t="s">
        <v>142</v>
      </c>
      <c r="C58" s="64" t="s">
        <v>143</v>
      </c>
      <c r="D58" s="12">
        <v>17</v>
      </c>
      <c r="E58" s="13">
        <v>17.3</v>
      </c>
      <c r="F58" s="12"/>
      <c r="G58" s="26">
        <f t="shared" si="0"/>
      </c>
      <c r="H58" s="27">
        <f t="shared" si="1"/>
      </c>
      <c r="I58" s="14">
        <v>37</v>
      </c>
      <c r="J58" s="26">
        <f t="shared" si="2"/>
        <v>0.3</v>
      </c>
      <c r="K58" s="27">
        <f t="shared" si="3"/>
        <v>45</v>
      </c>
      <c r="L58" s="55"/>
      <c r="M58" s="47"/>
    </row>
    <row r="59" spans="1:13" ht="18.75" customHeight="1">
      <c r="A59" s="61"/>
      <c r="B59" s="64" t="s">
        <v>135</v>
      </c>
      <c r="C59" s="64" t="s">
        <v>144</v>
      </c>
      <c r="D59" s="12">
        <v>17.3</v>
      </c>
      <c r="E59" s="13">
        <v>17.9</v>
      </c>
      <c r="F59" s="12">
        <v>37</v>
      </c>
      <c r="G59" s="26">
        <f t="shared" si="0"/>
        <v>0.6</v>
      </c>
      <c r="H59" s="27">
        <f t="shared" si="1"/>
        <v>90</v>
      </c>
      <c r="I59" s="14"/>
      <c r="J59" s="26">
        <f t="shared" si="2"/>
      </c>
      <c r="K59" s="27">
        <f t="shared" si="3"/>
      </c>
      <c r="L59" s="55"/>
      <c r="M59" s="47"/>
    </row>
    <row r="60" spans="1:13" ht="18.75" customHeight="1">
      <c r="A60" s="61"/>
      <c r="B60" s="64" t="s">
        <v>142</v>
      </c>
      <c r="C60" s="64" t="s">
        <v>145</v>
      </c>
      <c r="D60" s="12">
        <v>17.9</v>
      </c>
      <c r="E60" s="13">
        <v>18.6</v>
      </c>
      <c r="F60" s="12"/>
      <c r="G60" s="26">
        <f t="shared" si="0"/>
      </c>
      <c r="H60" s="27">
        <f t="shared" si="1"/>
      </c>
      <c r="I60" s="14">
        <v>18</v>
      </c>
      <c r="J60" s="26">
        <f t="shared" si="2"/>
        <v>0.7</v>
      </c>
      <c r="K60" s="27">
        <f t="shared" si="3"/>
        <v>102.2</v>
      </c>
      <c r="L60" s="55"/>
      <c r="M60" s="47"/>
    </row>
    <row r="61" spans="1:13" ht="18.75" customHeight="1">
      <c r="A61" s="61"/>
      <c r="B61" s="64" t="s">
        <v>146</v>
      </c>
      <c r="C61" s="64" t="s">
        <v>147</v>
      </c>
      <c r="D61" s="12">
        <v>18.6</v>
      </c>
      <c r="E61" s="13">
        <v>22.2</v>
      </c>
      <c r="F61" s="12"/>
      <c r="G61" s="26">
        <f t="shared" si="0"/>
      </c>
      <c r="H61" s="27">
        <f t="shared" si="1"/>
      </c>
      <c r="I61" s="14">
        <v>16.3</v>
      </c>
      <c r="J61" s="26">
        <f t="shared" si="2"/>
        <v>3.6</v>
      </c>
      <c r="K61" s="27">
        <f t="shared" si="3"/>
        <v>482.76</v>
      </c>
      <c r="L61" s="55"/>
      <c r="M61" s="47"/>
    </row>
    <row r="62" spans="1:13" ht="18.75" customHeight="1">
      <c r="A62" s="61"/>
      <c r="B62" s="64" t="s">
        <v>148</v>
      </c>
      <c r="C62" s="64" t="s">
        <v>149</v>
      </c>
      <c r="D62" s="12">
        <v>22.2</v>
      </c>
      <c r="E62" s="13">
        <v>22.6</v>
      </c>
      <c r="F62" s="12">
        <v>33</v>
      </c>
      <c r="G62" s="26">
        <f t="shared" si="0"/>
        <v>0.4</v>
      </c>
      <c r="H62" s="27">
        <f t="shared" si="1"/>
        <v>60</v>
      </c>
      <c r="I62" s="14"/>
      <c r="J62" s="26">
        <f t="shared" si="2"/>
      </c>
      <c r="K62" s="27">
        <f t="shared" si="3"/>
      </c>
      <c r="L62" s="55"/>
      <c r="M62" s="47"/>
    </row>
    <row r="63" spans="1:13" ht="18.75" customHeight="1">
      <c r="A63" s="61"/>
      <c r="B63" s="64" t="s">
        <v>142</v>
      </c>
      <c r="C63" s="64" t="s">
        <v>150</v>
      </c>
      <c r="D63" s="12">
        <v>22.6</v>
      </c>
      <c r="E63" s="13">
        <v>23.3</v>
      </c>
      <c r="F63" s="12"/>
      <c r="G63" s="26">
        <f t="shared" si="0"/>
      </c>
      <c r="H63" s="27">
        <f t="shared" si="1"/>
      </c>
      <c r="I63" s="14">
        <v>25.9</v>
      </c>
      <c r="J63" s="26">
        <f t="shared" si="2"/>
        <v>0.7</v>
      </c>
      <c r="K63" s="27">
        <f t="shared" si="3"/>
        <v>105</v>
      </c>
      <c r="L63" s="55"/>
      <c r="M63" s="47"/>
    </row>
    <row r="64" spans="1:13" ht="18.75" customHeight="1">
      <c r="A64" s="61"/>
      <c r="B64" s="64"/>
      <c r="C64" s="64" t="s">
        <v>151</v>
      </c>
      <c r="D64" s="12"/>
      <c r="E64" s="13"/>
      <c r="F64" s="12"/>
      <c r="G64" s="26">
        <f t="shared" si="0"/>
      </c>
      <c r="H64" s="27">
        <f t="shared" si="1"/>
      </c>
      <c r="I64" s="14"/>
      <c r="J64" s="26">
        <f t="shared" si="2"/>
      </c>
      <c r="K64" s="27">
        <f t="shared" si="3"/>
      </c>
      <c r="L64" s="55"/>
      <c r="M64" s="47"/>
    </row>
    <row r="65" spans="1:13" ht="18.75" customHeight="1">
      <c r="A65" s="61"/>
      <c r="B65" s="64"/>
      <c r="C65" s="64" t="s">
        <v>152</v>
      </c>
      <c r="D65" s="12"/>
      <c r="E65" s="13"/>
      <c r="F65" s="12"/>
      <c r="G65" s="26">
        <f t="shared" si="0"/>
      </c>
      <c r="H65" s="27">
        <f t="shared" si="1"/>
      </c>
      <c r="I65" s="14"/>
      <c r="J65" s="26">
        <f t="shared" si="2"/>
      </c>
      <c r="K65" s="27">
        <f t="shared" si="3"/>
      </c>
      <c r="L65" s="55"/>
      <c r="M65" s="47"/>
    </row>
    <row r="66" spans="1:13" ht="18.75" customHeight="1">
      <c r="A66" s="61"/>
      <c r="B66" s="64"/>
      <c r="C66" s="64" t="s">
        <v>153</v>
      </c>
      <c r="D66" s="12"/>
      <c r="E66" s="13"/>
      <c r="F66" s="12"/>
      <c r="G66" s="26">
        <f t="shared" si="0"/>
      </c>
      <c r="H66" s="27">
        <f t="shared" si="1"/>
      </c>
      <c r="I66" s="14"/>
      <c r="J66" s="26">
        <f t="shared" si="2"/>
      </c>
      <c r="K66" s="27">
        <f t="shared" si="3"/>
      </c>
      <c r="L66" s="55"/>
      <c r="M66" s="47"/>
    </row>
    <row r="67" spans="1:13" ht="18.75" customHeight="1">
      <c r="A67" s="61"/>
      <c r="B67" s="56" t="s">
        <v>154</v>
      </c>
      <c r="C67" s="57"/>
      <c r="D67" s="28"/>
      <c r="E67" s="28"/>
      <c r="F67" s="29"/>
      <c r="G67" s="3">
        <f>IF($H$47=2,"",ROUND(SUM(G52:G66),2))</f>
        <v>2.7</v>
      </c>
      <c r="H67" s="29"/>
      <c r="I67" s="29"/>
      <c r="J67" s="3">
        <f>IF($H$47=2,"",ROUND(SUM(J52:J66),2))</f>
        <v>11.6</v>
      </c>
      <c r="K67" s="4"/>
      <c r="L67" s="55"/>
      <c r="M67" s="47"/>
    </row>
    <row r="68" spans="1:13" ht="18.75" customHeight="1">
      <c r="A68" s="61"/>
      <c r="B68" s="56" t="s">
        <v>155</v>
      </c>
      <c r="C68" s="57"/>
      <c r="D68" s="56" t="s">
        <v>156</v>
      </c>
      <c r="E68" s="28"/>
      <c r="F68" s="32">
        <f>IF(F67="","",ROUND(F67/G67,2))</f>
      </c>
      <c r="G68" s="28"/>
      <c r="H68" s="5">
        <f>IF($H$47=2,"",SUM(H52:H66))</f>
        <v>401.8</v>
      </c>
      <c r="I68" s="32"/>
      <c r="J68" s="57"/>
      <c r="K68" s="5">
        <f>IF($H$47=2,"",SUM(K52:K66))</f>
        <v>1176.03</v>
      </c>
      <c r="L68" s="55"/>
      <c r="M68" s="47"/>
    </row>
    <row r="69" spans="1:13" ht="16.5" customHeight="1">
      <c r="A69" s="57"/>
      <c r="B69" s="50"/>
      <c r="C69" s="50"/>
      <c r="D69" s="50"/>
      <c r="E69" s="50"/>
      <c r="F69" s="6"/>
      <c r="G69" s="6"/>
      <c r="H69" s="6"/>
      <c r="I69" s="6"/>
      <c r="J69" s="50"/>
      <c r="K69" s="7"/>
      <c r="L69" s="47"/>
      <c r="M69" s="47"/>
    </row>
    <row r="70" spans="1:13" ht="14.25">
      <c r="A70" s="62"/>
      <c r="B70" s="62"/>
      <c r="C70" s="62"/>
      <c r="D70" s="62"/>
      <c r="E70" s="62"/>
      <c r="F70" s="62"/>
      <c r="G70" s="62"/>
      <c r="H70" s="62"/>
      <c r="I70" s="62"/>
      <c r="J70" s="62"/>
      <c r="K70" s="47"/>
      <c r="L70" s="47"/>
      <c r="M70" s="47"/>
    </row>
  </sheetData>
  <sheetProtection/>
  <printOptions horizontalCentered="1"/>
  <pageMargins left="0.65" right="0.20069444444444445" top="0.5" bottom="0.5" header="0.512" footer="0.512"/>
  <pageSetup orientation="portrait" paperSize="9" scale="6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ueno2</cp:lastModifiedBy>
  <cp:lastPrinted>2010-03-10T01:16:05Z</cp:lastPrinted>
  <dcterms:created xsi:type="dcterms:W3CDTF">2011-07-12T04:11:48Z</dcterms:created>
  <dcterms:modified xsi:type="dcterms:W3CDTF">2012-03-04T13:26:01Z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